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jgJI3SG2if4rimxzZesY/tYY15FmWblUTgDdlw/753yNdBbm90Frjzvw71hVThJHCjxdb3GTRrLLV00473Rw0w==" workbookSaltValue="zD5Tv/ihFQmGYBzn+kR9Dg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S279" i="83"/>
  <c r="Y133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G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G214" i="83" l="1"/>
  <c r="AK214" i="83"/>
  <c r="AQ214" i="83" s="1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45" i="83"/>
  <c r="AP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Y112" i="83" l="1"/>
  <c r="AG334" i="83"/>
  <c r="AO245" i="83"/>
  <c r="AI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Q222" i="83" l="1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<sst xmlns="http://schemas.openxmlformats.org/spreadsheetml/2006/main" count="65796" uniqueCount="755">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</sst>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24</v>
      </c>
      <c r="B3" s="2">
        <v>1</v>
      </c>
      <c r="C3" s="2">
        <v>1</v>
      </c>
      <c r="D3" s="62" t="str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/>
      </c>
      <c r="E3" s="62" t="str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/>
      </c>
      <c r="F3" s="62" t="str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/>
      </c>
      <c r="G3" s="69" t="str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/>
      </c>
      <c r="H3" s="62" t="str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/>
      </c>
      <c r="I3" s="62" t="str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/>
      </c>
      <c r="J3" s="62" t="str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/>
      </c>
      <c r="K3" s="62" t="str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/>
      </c>
      <c r="L3" s="62" t="str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/>
      </c>
      <c r="M3" s="62" t="str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/>
      </c>
      <c r="N3" s="62" t="str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/>
      </c>
      <c r="O3" s="62" t="str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/>
      </c>
      <c r="P3" s="62" t="str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/>
      </c>
      <c r="Q3" s="62" t="str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/>
      </c>
      <c r="R3" s="62" t="str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/>
      </c>
      <c r="S3" s="62" t="str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/>
      </c>
      <c r="T3" s="62" t="str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/>
      </c>
      <c r="U3" s="62" t="str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/>
      </c>
      <c r="V3" s="62" t="str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/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0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24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0.65593401847455601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5.5985420335579822E-2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8.6777828377837637E-2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8.6945613393868554E-2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8.5277158709529344E-2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2.3270365734334966E-2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5.6259867644099413E-4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5.2469962978527167E-3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7.0622123630798506E-2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7.0436405917129657E-2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6.9436405917129657E-2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6.7436405917129655E-2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1.2385709393277792E-2</v>
      </c>
      <c r="AB4" s="2">
        <f>SUMIFS(PERSALDATA!$G$2:$G$20871,PERSALDATA!$A$2:$A$20871,WORKING!A4,PERSALDATA!$D$2:$D$20871,WORKING!B4,PERSALDATA!$E$2:$E$20871,WORKING!C4,PERSALDATA!$F$2:$F$20871,"S&amp;W: BASIC SALARY (RES)")</f>
        <v>36</v>
      </c>
      <c r="AC4" s="2">
        <f>SUMIFS(PERSALDATA!$H$2:$H$20871,PERSALDATA!$A$2:$A$20871,WORKING!A4,PERSALDATA!$D$2:$D$20871,WORKING!B4,PERSALDATA!$E$2:$E$20871,WORKING!C4)</f>
        <v>4124325.38</v>
      </c>
    </row>
    <row r="5" spans="1:29" x14ac:dyDescent="0.25">
      <c r="A5" s="2">
        <f>Results!$D$3</f>
        <v>24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0.65117870840663006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5.3505775957949808E-2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7.8363929522839021E-2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1.7439255182504363E-2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7.6343516644221968E-2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8.4702250928770317E-2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1.8732736958426872E-2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4.5468052034124433E-4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1.6493171551846649E-4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1.6852913246547332E-2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2.2613009162503451E-3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7.1113150589283317E-2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7.0361513454434935E-2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6.9361513454434948E-2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6.7361513454434918E-2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1.2672568099688962E-2</v>
      </c>
      <c r="AB5" s="2">
        <f>SUMIFS(PERSALDATA!$G$2:$G$20871,PERSALDATA!$A$2:$A$20871,WORKING!A5,PERSALDATA!$D$2:$D$20871,WORKING!B5,PERSALDATA!$E$2:$E$20871,WORKING!C5,PERSALDATA!$F$2:$F$20871,"S&amp;W: BASIC SALARY (RES)")</f>
        <v>75</v>
      </c>
      <c r="AC5" s="2">
        <f>SUMIFS(PERSALDATA!$H$2:$H$20871,PERSALDATA!$A$2:$A$20871,WORKING!A5,PERSALDATA!$D$2:$D$20871,WORKING!B5,PERSALDATA!$E$2:$E$20871,WORKING!C5)</f>
        <v>11783482.600000001</v>
      </c>
    </row>
    <row r="6" spans="1:29" x14ac:dyDescent="0.25">
      <c r="A6" s="2">
        <f>Results!$D$3</f>
        <v>24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0.69152830141596577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5.9179092181891671E-2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6.6823354545091987E-2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1.2230680390053324E-2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5.1727542990374319E-2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9.0021810162767266E-2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2.0759286682804003E-2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4.1452171799594747E-4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1.7945093513168752E-4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7.1359589779239575E-3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7.1645610656438236E-2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7.0107679599404699E-2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6.9107679599404684E-2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6.7107679599404696E-2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1.3215518711198065E-2</v>
      </c>
      <c r="AB6" s="2">
        <f>SUMIFS(PERSALDATA!$G$2:$G$20871,PERSALDATA!$A$2:$A$20871,WORKING!A6,PERSALDATA!$D$2:$D$20871,WORKING!B6,PERSALDATA!$E$2:$E$20871,WORKING!C6,PERSALDATA!$F$2:$F$20871,"S&amp;W: BASIC SALARY (RES)")</f>
        <v>29</v>
      </c>
      <c r="AC6" s="2">
        <f>SUMIFS(PERSALDATA!$H$2:$H$20871,PERSALDATA!$A$2:$A$20871,WORKING!A6,PERSALDATA!$D$2:$D$20871,WORKING!B6,PERSALDATA!$E$2:$E$20871,WORKING!C6)</f>
        <v>4978798.24</v>
      </c>
    </row>
    <row r="7" spans="1:29" x14ac:dyDescent="0.25">
      <c r="A7" s="2">
        <f>Results!$D$3</f>
        <v>24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0.6962353437409099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5.7026990601556679E-2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6.4074227298127048E-2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5.4625177579837965E-3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6.628666409207265E-2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8.8757513187083081E-2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1.003623716131527E-2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3.6243993508420683E-4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5.8344432948438472E-3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5.2989853644974331E-3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6.2463756652613811E-4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7.2058372022631378E-2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7.0353557688399834E-2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6.9353557688399833E-2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6.7353557688399832E-2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1.303915003012074E-2</v>
      </c>
      <c r="AB7" s="2">
        <f>SUMIFS(PERSALDATA!$G$2:$G$20871,PERSALDATA!$A$2:$A$20871,WORKING!A7,PERSALDATA!$D$2:$D$20871,WORKING!B7,PERSALDATA!$E$2:$E$20871,WORKING!C7,PERSALDATA!$F$2:$F$20871,"S&amp;W: BASIC SALARY (RES)")</f>
        <v>146</v>
      </c>
      <c r="AC7" s="2">
        <f>SUMIFS(PERSALDATA!$H$2:$H$20871,PERSALDATA!$A$2:$A$20871,WORKING!A7,PERSALDATA!$D$2:$D$20871,WORKING!B7,PERSALDATA!$E$2:$E$20871,WORKING!C7)</f>
        <v>28438891.530000001</v>
      </c>
    </row>
    <row r="8" spans="1:29" x14ac:dyDescent="0.25">
      <c r="A8" s="2">
        <f>Results!$D$3</f>
        <v>24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0.7013030651103801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5.7646406904267047E-2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4.8814034001088739E-2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1.2923021222308193E-2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6.3050706310055368E-2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9.1279557839447162E-2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1.9403137756660752E-2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2.8541045690028165E-4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1.4879905953663706E-3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2.4084806596813869E-3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1.398189143844471E-3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7.3172843304258023E-2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7.045762025463996E-2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6.9457620254639932E-2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6.7457620254639944E-2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1.3317747738479333E-2</v>
      </c>
      <c r="AB8" s="2">
        <f>SUMIFS(PERSALDATA!$G$2:$G$20871,PERSALDATA!$A$2:$A$20871,WORKING!A8,PERSALDATA!$D$2:$D$20871,WORKING!B8,PERSALDATA!$E$2:$E$20871,WORKING!C8,PERSALDATA!$F$2:$F$20871,"S&amp;W: BASIC SALARY (RES)")</f>
        <v>143</v>
      </c>
      <c r="AC8" s="2">
        <f>SUMIFS(PERSALDATA!$H$2:$H$20871,PERSALDATA!$A$2:$A$20871,WORKING!A8,PERSALDATA!$D$2:$D$20871,WORKING!B8,PERSALDATA!$E$2:$E$20871,WORKING!C8)</f>
        <v>38116087.680000007</v>
      </c>
    </row>
    <row r="9" spans="1:29" x14ac:dyDescent="0.25">
      <c r="A9" s="2">
        <f>Results!$D$3</f>
        <v>24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0.70810885184739225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6.0937326679350895E-2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4.2197822038606246E-2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8.173568547425349E-3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4.9677675504160274E-2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9.2083653750963779E-2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2.7561790673420981E-2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2.411177820040084E-4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1.5400538511602157E-3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3.0241467607497035E-4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6.8393782028757623E-3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2.3363464465650809E-3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7.3488452982124156E-2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7.0323186912176344E-2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6.9323186912176343E-2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6.7323186912176314E-2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1.3618250770128439E-2</v>
      </c>
      <c r="AB9" s="2">
        <f>SUMIFS(PERSALDATA!$G$2:$G$20871,PERSALDATA!$A$2:$A$20871,WORKING!A9,PERSALDATA!$D$2:$D$20871,WORKING!B9,PERSALDATA!$E$2:$E$20871,WORKING!C9,PERSALDATA!$F$2:$F$20871,"S&amp;W: BASIC SALARY (RES)")</f>
        <v>175</v>
      </c>
      <c r="AC9" s="2">
        <f>SUMIFS(PERSALDATA!$H$2:$H$20871,PERSALDATA!$A$2:$A$20871,WORKING!A9,PERSALDATA!$D$2:$D$20871,WORKING!B9,PERSALDATA!$E$2:$E$20871,WORKING!C9)</f>
        <v>49203961.24000001</v>
      </c>
    </row>
    <row r="10" spans="1:29" x14ac:dyDescent="0.25">
      <c r="A10" s="2">
        <f>Results!$D$3</f>
        <v>24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0.7251252467121454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6.2090621753516914E-2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3.2206539074958969E-2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3.4652996935124838E-3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4.1708596908175424E-2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9.390352995545985E-2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3.2633380557501937E-2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1.9364086263052343E-4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1.1256000880403608E-3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1.6702153234506539E-3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3.2205073173334092E-3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5.2031652429910136E-4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2.1365052289749045E-3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7.4136223387017572E-2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7.0303563562873039E-2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6.9303563562873038E-2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6.7303563562873023E-2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1.3888368347313522E-2</v>
      </c>
      <c r="AB10" s="2">
        <f>SUMIFS(PERSALDATA!$G$2:$G$20871,PERSALDATA!$A$2:$A$20871,WORKING!A10,PERSALDATA!$D$2:$D$20871,WORKING!B10,PERSALDATA!$E$2:$E$20871,WORKING!C10,PERSALDATA!$F$2:$F$20871,"S&amp;W: BASIC SALARY (RES)")</f>
        <v>136</v>
      </c>
      <c r="AC10" s="2">
        <f>SUMIFS(PERSALDATA!$H$2:$H$20871,PERSALDATA!$A$2:$A$20871,WORKING!A10,PERSALDATA!$D$2:$D$20871,WORKING!B10,PERSALDATA!$E$2:$E$20871,WORKING!C10)</f>
        <v>48502572.610000007</v>
      </c>
    </row>
    <row r="11" spans="1:29" x14ac:dyDescent="0.25">
      <c r="A11" s="2">
        <f>Results!$D$3</f>
        <v>24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0.72823215853947376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6.0632380400255134E-2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2.919507551867671E-2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8.1215004055317924E-3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3.9025842668817853E-2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9.4889155019592622E-2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3.3793761707013051E-2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1.6570194357847046E-4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5.9444237970606786E-3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7.4327536057944024E-2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7.0293436884845531E-2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6.9293436884845502E-2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6.7293436884845514E-2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1.3974200698033904E-2</v>
      </c>
      <c r="AB11" s="2">
        <f>SUMIFS(PERSALDATA!$G$2:$G$20871,PERSALDATA!$A$2:$A$20871,WORKING!A11,PERSALDATA!$D$2:$D$20871,WORKING!B11,PERSALDATA!$E$2:$E$20871,WORKING!C11,PERSALDATA!$F$2:$F$20871,"S&amp;W: BASIC SALARY (RES)")</f>
        <v>85</v>
      </c>
      <c r="AC11" s="2">
        <f>SUMIFS(PERSALDATA!$H$2:$H$20871,PERSALDATA!$A$2:$A$20871,WORKING!A11,PERSALDATA!$D$2:$D$20871,WORKING!B11,PERSALDATA!$E$2:$E$20871,WORKING!C11)</f>
        <v>34690781.990000002</v>
      </c>
    </row>
    <row r="12" spans="1:29" x14ac:dyDescent="0.25">
      <c r="A12" s="2">
        <f>Results!$D$3</f>
        <v>24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0.74631627672907142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6.3567206506756721E-2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2.1729928635648498E-2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4.044020967361079E-3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3.0204899775932208E-2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9.7600777922098952E-2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3.5535900194323067E-2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1.346756403051519E-4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8.663136285028811E-4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7.4771394020553758E-2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7.0235774210282501E-2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6.9235774210282514E-2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6.7235774210282484E-2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1.4218957439221712E-2</v>
      </c>
      <c r="AB12" s="2">
        <f>SUMIFS(PERSALDATA!$G$2:$G$20871,PERSALDATA!$A$2:$A$20871,WORKING!A12,PERSALDATA!$D$2:$D$20871,WORKING!B12,PERSALDATA!$E$2:$E$20871,WORKING!C12,PERSALDATA!$F$2:$F$20871,"S&amp;W: BASIC SALARY (RES)")</f>
        <v>36</v>
      </c>
      <c r="AC12" s="2">
        <f>SUMIFS(PERSALDATA!$H$2:$H$20871,PERSALDATA!$A$2:$A$20871,WORKING!A12,PERSALDATA!$D$2:$D$20871,WORKING!B12,PERSALDATA!$E$2:$E$20871,WORKING!C12)</f>
        <v>18831170.91</v>
      </c>
    </row>
    <row r="13" spans="1:29" x14ac:dyDescent="0.25">
      <c r="A13" s="2">
        <f>Results!$D$3</f>
        <v>24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0.67870640450287456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4.8296304415183469E-2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8.6946255073098947E-3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1.7165291754706177E-3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1.4402839273664368E-2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8.827730374667199E-2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4.0643432999730951E-2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1.0956607700027078E-4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9.8722224876620468E-2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2.0229896324274549E-2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2.0087310119892439E-4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1.4651894537130384E-2</v>
      </c>
      <c r="AB13" s="2">
        <f>SUMIFS(PERSALDATA!$G$2:$G$20871,PERSALDATA!$A$2:$A$20871,WORKING!A13,PERSALDATA!$D$2:$D$20871,WORKING!B13,PERSALDATA!$E$2:$E$20871,WORKING!C13,PERSALDATA!$F$2:$F$20871,"S&amp;W: BASIC SALARY (RES)")</f>
        <v>69</v>
      </c>
      <c r="AC13" s="2">
        <f>SUMIFS(PERSALDATA!$H$2:$H$20871,PERSALDATA!$A$2:$A$20871,WORKING!A13,PERSALDATA!$D$2:$D$20871,WORKING!B13,PERSALDATA!$E$2:$E$20871,WORKING!C13)</f>
        <v>44216970.549999952</v>
      </c>
    </row>
    <row r="14" spans="1:29" x14ac:dyDescent="0.25">
      <c r="A14" s="2">
        <f>Results!$D$3</f>
        <v>24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0.68714417462805899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4.2781883563652062E-2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8.9100107543429452E-3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4.5264752587423378E-4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1.7890816726436946E-2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8.9335619782759029E-2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3.9547095633316508E-2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8.8003445211275674E-5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1.689317280136659E-3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9.9239049139049448E-2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9.4291249735225565E-3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2.4386392499668071E-3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1.0536172976724023E-3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1.4596667536110129E-2</v>
      </c>
      <c r="AB14" s="2">
        <f>SUMIFS(PERSALDATA!$G$2:$G$20871,PERSALDATA!$A$2:$A$20871,WORKING!A14,PERSALDATA!$D$2:$D$20871,WORKING!B14,PERSALDATA!$E$2:$E$20871,WORKING!C14,PERSALDATA!$F$2:$F$20871,"S&amp;W: BASIC SALARY (RES)")</f>
        <v>42</v>
      </c>
      <c r="AC14" s="2">
        <f>SUMIFS(PERSALDATA!$H$2:$H$20871,PERSALDATA!$A$2:$A$20871,WORKING!A14,PERSALDATA!$D$2:$D$20871,WORKING!B14,PERSALDATA!$E$2:$E$20871,WORKING!C14)</f>
        <v>33720498.020000003</v>
      </c>
    </row>
    <row r="15" spans="1:29" x14ac:dyDescent="0.25">
      <c r="A15" s="2">
        <f>Results!$D$3</f>
        <v>24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0.62435251748980936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4.8911081058506937E-2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2.3035303694820122E-2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1.7925251745911853E-2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8.1264850546499609E-2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1.5940594485741987E-2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7.2843638014423134E-5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0.1730426833452669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1.0286368248725808E-2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5.1685057467032109E-3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1.4384499013818809E-2</v>
      </c>
      <c r="AB15" s="2">
        <f>SUMIFS(PERSALDATA!$G$2:$G$20871,PERSALDATA!$A$2:$A$20871,WORKING!A15,PERSALDATA!$D$2:$D$20871,WORKING!B15,PERSALDATA!$E$2:$E$20871,WORKING!C15,PERSALDATA!$F$2:$F$20871,"S&amp;W: BASIC SALARY (RES)")</f>
        <v>23</v>
      </c>
      <c r="AC15" s="2">
        <f>SUMIFS(PERSALDATA!$H$2:$H$20871,PERSALDATA!$A$2:$A$20871,WORKING!A15,PERSALDATA!$D$2:$D$20871,WORKING!B15,PERSALDATA!$E$2:$E$20871,WORKING!C15)</f>
        <v>24730642.909999996</v>
      </c>
    </row>
    <row r="16" spans="1:29" x14ac:dyDescent="0.25">
      <c r="A16" s="2">
        <f>Results!$D$3</f>
        <v>24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0.62039712816968129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4.4625300673510532E-2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8.3598011336991802E-3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6.7608213487013423E-3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8.0696900123094287E-2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5.3714454445815485E-3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6.204360829642193E-5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0.2081173193182288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2.3413212947503557E-2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9.8415486653575341E-4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1.2118723661672468E-3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1.4772260008639545E-2</v>
      </c>
      <c r="AB16" s="2">
        <f>SUMIFS(PERSALDATA!$G$2:$G$20871,PERSALDATA!$A$2:$A$20871,WORKING!A16,PERSALDATA!$D$2:$D$20871,WORKING!B16,PERSALDATA!$E$2:$E$20871,WORKING!C16,PERSALDATA!$F$2:$F$20871,"S&amp;W: BASIC SALARY (RES)")</f>
        <v>19</v>
      </c>
      <c r="AC16" s="2">
        <f>SUMIFS(PERSALDATA!$H$2:$H$20871,PERSALDATA!$A$2:$A$20871,WORKING!A16,PERSALDATA!$D$2:$D$20871,WORKING!B16,PERSALDATA!$E$2:$E$20871,WORKING!C16)</f>
        <v>19544962.539999999</v>
      </c>
    </row>
    <row r="17" spans="1:29" x14ac:dyDescent="0.25">
      <c r="A17" s="2">
        <f>Results!$D$3</f>
        <v>24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0.64347595245867706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3.1717686742765594E-2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6.1299980768277421E-4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1.3569636676352974E-3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6.2490195465186991E-2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1.5178318204872874E-2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5.2403046096927036E-5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0.23934991476780609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5.7655658392764429E-3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1.4969664502178775E-2</v>
      </c>
      <c r="AB17" s="2">
        <f>SUMIFS(PERSALDATA!$G$2:$G$20871,PERSALDATA!$A$2:$A$20871,WORKING!A17,PERSALDATA!$D$2:$D$20871,WORKING!B17,PERSALDATA!$E$2:$E$20871,WORKING!C17,PERSALDATA!$F$2:$F$20871,"S&amp;W: BASIC SALARY (RES)")</f>
        <v>8</v>
      </c>
      <c r="AC17" s="2">
        <f>SUMIFS(PERSALDATA!$H$2:$H$20871,PERSALDATA!$A$2:$A$20871,WORKING!A17,PERSALDATA!$D$2:$D$20871,WORKING!B17,PERSALDATA!$E$2:$E$20871,WORKING!C17)</f>
        <v>10903755.460000001</v>
      </c>
    </row>
    <row r="18" spans="1:29" x14ac:dyDescent="0.25">
      <c r="A18" s="2">
        <f>Results!$D$3</f>
        <v>24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0.59951616330091984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6.0297635082818532E-2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4.1578964693022774E-2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0.1233584920139093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6.5988175790440302E-6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0.17524214609175059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1.4376216547340974E-2</v>
      </c>
      <c r="AB18" s="2">
        <f>SUMIFS(PERSALDATA!$G$2:$G$20871,PERSALDATA!$A$2:$A$20871,WORKING!A18,PERSALDATA!$D$2:$D$20871,WORKING!B18,PERSALDATA!$E$2:$E$20871,WORKING!C18,PERSALDATA!$F$2:$F$20871,"S&amp;W: BASIC SALARY (RES)")</f>
        <v>2</v>
      </c>
      <c r="AC18" s="2">
        <f>SUMIFS(PERSALDATA!$H$2:$H$20871,PERSALDATA!$A$2:$A$20871,WORKING!A18,PERSALDATA!$D$2:$D$20871,WORKING!B18,PERSALDATA!$E$2:$E$20871,WORKING!C18)</f>
        <v>5300949.6899999995</v>
      </c>
    </row>
    <row r="19" spans="1:29" x14ac:dyDescent="0.25">
      <c r="A19" s="2">
        <f>Results!$D$3</f>
        <v>24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24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1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1.4999999999999999E-2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12529.1</v>
      </c>
    </row>
    <row r="21" spans="1:29" x14ac:dyDescent="0.25">
      <c r="A21" s="2">
        <f>Results!$D$3</f>
        <v>24</v>
      </c>
      <c r="B21" s="2">
        <v>2</v>
      </c>
      <c r="C21" s="2">
        <v>2</v>
      </c>
      <c r="D21" s="62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>0.67939026575782724</v>
      </c>
      <c r="E21" s="62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>5.5250062989199822E-2</v>
      </c>
      <c r="F21" s="62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>7.6704412060880675E-2</v>
      </c>
      <c r="G21" s="69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>2.0503689500747766E-3</v>
      </c>
      <c r="H21" s="62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>6.3131966509009235E-2</v>
      </c>
      <c r="I21" s="62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>8.5553220944544678E-2</v>
      </c>
      <c r="J21" s="62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>1.8168244650109237E-2</v>
      </c>
      <c r="K21" s="62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>5.4694342657932821E-4</v>
      </c>
      <c r="L21" s="62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>0</v>
      </c>
      <c r="M21" s="62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>1.7490989954452675E-2</v>
      </c>
      <c r="N21" s="62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>1.7555783347738803E-4</v>
      </c>
      <c r="O21" s="62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>0</v>
      </c>
      <c r="P21" s="62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>1.5379669238447383E-3</v>
      </c>
      <c r="Q21" s="62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>0</v>
      </c>
      <c r="R21" s="62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>0</v>
      </c>
      <c r="S21" s="62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>0</v>
      </c>
      <c r="T21" s="62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>0</v>
      </c>
      <c r="U21" s="62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>0</v>
      </c>
      <c r="V21" s="62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>0</v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7.1054312214499191E-2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7.017993537702634E-2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6.9179935377026325E-2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6.7179935377026337E-2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1.2894250170052956E-2</v>
      </c>
      <c r="AB21" s="2">
        <f>SUMIFS(PERSALDATA!$G$2:$G$20871,PERSALDATA!$A$2:$A$20871,WORKING!A21,PERSALDATA!$D$2:$D$20871,WORKING!B21,PERSALDATA!$E$2:$E$20871,WORKING!C21,PERSALDATA!$F$2:$F$20871,"S&amp;W: BASIC SALARY (RES)")</f>
        <v>256</v>
      </c>
      <c r="AC21" s="2">
        <f>SUMIFS(PERSALDATA!$H$2:$H$20871,PERSALDATA!$A$2:$A$20871,WORKING!A21,PERSALDATA!$D$2:$D$20871,WORKING!B21,PERSALDATA!$E$2:$E$20871,WORKING!C21)</f>
        <v>28875783.550000001</v>
      </c>
    </row>
    <row r="22" spans="1:29" x14ac:dyDescent="0.25">
      <c r="A22" s="2">
        <f>Results!$D$3</f>
        <v>24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0.67116236069839985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5.9482921387459829E-2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7.0970972518718312E-2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1.9556515093601297E-2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6.4819450143053334E-2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8.7402213980744617E-2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1.7693154876900392E-2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4.6861032208803317E-4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5.3818625595209004E-3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1.7084614025421189E-3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1.3534770169713057E-3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7.1513678390580149E-2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7.026258202695862E-2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6.9262582026958619E-2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6.7262582026958631E-2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1.2956114505242106E-2</v>
      </c>
      <c r="AB22" s="2">
        <f>SUMIFS(PERSALDATA!$G$2:$G$20871,PERSALDATA!$A$2:$A$20871,WORKING!A22,PERSALDATA!$D$2:$D$20871,WORKING!B22,PERSALDATA!$E$2:$E$20871,WORKING!C22,PERSALDATA!$F$2:$F$20871,"S&amp;W: BASIC SALARY (RES)")</f>
        <v>87</v>
      </c>
      <c r="AC22" s="2">
        <f>SUMIFS(PERSALDATA!$H$2:$H$20871,PERSALDATA!$A$2:$A$20871,WORKING!A22,PERSALDATA!$D$2:$D$20871,WORKING!B22,PERSALDATA!$E$2:$E$20871,WORKING!C22)</f>
        <v>13125084.34</v>
      </c>
    </row>
    <row r="23" spans="1:29" x14ac:dyDescent="0.25">
      <c r="A23" s="2">
        <f>Results!$D$3</f>
        <v>24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0.65605479505256004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5.3358381895241398E-2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6.774947133026725E-2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2.3317941496200482E-2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8.2222608513452561E-2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8.5592669566019214E-2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2.3059793405328346E-2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3.9536326568622143E-4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4.5153146198539625E-4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7.7974440132590386E-3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7.2002156698088016E-2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7.0555844414399119E-2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6.9555844414399146E-2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6.7555844414399116E-2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1.2744488353358908E-2</v>
      </c>
      <c r="AB23" s="2">
        <f>SUMIFS(PERSALDATA!$G$2:$G$20871,PERSALDATA!$A$2:$A$20871,WORKING!A23,PERSALDATA!$D$2:$D$20871,WORKING!B23,PERSALDATA!$E$2:$E$20871,WORKING!C23,PERSALDATA!$F$2:$F$20871,"S&amp;W: BASIC SALARY (RES)")</f>
        <v>25</v>
      </c>
      <c r="AC23" s="2">
        <f>SUMIFS(PERSALDATA!$H$2:$H$20871,PERSALDATA!$A$2:$A$20871,WORKING!A23,PERSALDATA!$D$2:$D$20871,WORKING!B23,PERSALDATA!$E$2:$E$20871,WORKING!C23)</f>
        <v>4556493.12</v>
      </c>
    </row>
    <row r="24" spans="1:29" x14ac:dyDescent="0.25">
      <c r="A24" s="2">
        <f>Results!$D$3</f>
        <v>24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0.68651963720056364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5.8189753833332004E-2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6.2139248342676597E-2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1.0572920067192629E-2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7.7068822206118312E-2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8.9512629855506398E-2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1.1453563260035356E-2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3.4820068708265689E-4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3.6198575380790485E-3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5.7536700941324321E-4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7.235638063684223E-2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7.0534639849665001E-2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6.9534639849665E-2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6.7534639849665012E-2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1.2906655931461834E-2</v>
      </c>
      <c r="AB24" s="2">
        <f>SUMIFS(PERSALDATA!$G$2:$G$20871,PERSALDATA!$A$2:$A$20871,WORKING!A24,PERSALDATA!$D$2:$D$20871,WORKING!B24,PERSALDATA!$E$2:$E$20871,WORKING!C24,PERSALDATA!$F$2:$F$20871,"S&amp;W: BASIC SALARY (RES)")</f>
        <v>152</v>
      </c>
      <c r="AC24" s="2">
        <f>SUMIFS(PERSALDATA!$H$2:$H$20871,PERSALDATA!$A$2:$A$20871,WORKING!A24,PERSALDATA!$D$2:$D$20871,WORKING!B24,PERSALDATA!$E$2:$E$20871,WORKING!C24)</f>
        <v>30874206.740000006</v>
      </c>
    </row>
    <row r="25" spans="1:29" x14ac:dyDescent="0.25">
      <c r="A25" s="2">
        <f>Results!$D$3</f>
        <v>24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0.7024993256759956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5.747321982085217E-2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5.1480247564078457E-2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5.1350277932443169E-3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5.9591606438454618E-2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9.1404725093877565E-2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3.1993061818767335E-2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2.9095999522805749E-4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1.3182579950183447E-4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7.2921783675268401E-2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7.0379071620936026E-2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6.9379071620936039E-2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6.7379071620936037E-2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1.3329557790033581E-2</v>
      </c>
      <c r="AB25" s="2">
        <f>SUMIFS(PERSALDATA!$G$2:$G$20871,PERSALDATA!$A$2:$A$20871,WORKING!A25,PERSALDATA!$D$2:$D$20871,WORKING!B25,PERSALDATA!$E$2:$E$20871,WORKING!C25,PERSALDATA!$F$2:$F$20871,"S&amp;W: BASIC SALARY (RES)")</f>
        <v>44</v>
      </c>
      <c r="AC25" s="2">
        <f>SUMIFS(PERSALDATA!$H$2:$H$20871,PERSALDATA!$A$2:$A$20871,WORKING!A25,PERSALDATA!$D$2:$D$20871,WORKING!B25,PERSALDATA!$E$2:$E$20871,WORKING!C25)</f>
        <v>10559389.780000001</v>
      </c>
    </row>
    <row r="26" spans="1:29" x14ac:dyDescent="0.25">
      <c r="A26" s="2">
        <f>Results!$D$3</f>
        <v>24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0.69819192703142818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5.769505519292524E-2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4.1521598870886856E-2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3.7535193218471312E-2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4.8987800394610176E-2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9.0911592094424593E-2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6.4888770437834626E-3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2.3512193156483176E-4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1.1115078629056871E-3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1.6257198734759337E-2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1.0641276242402825E-3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7.3530187691337151E-2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7.0319601017210298E-2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6.9319601017210283E-2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6.7319601017210295E-2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1.3638832182044067E-2</v>
      </c>
      <c r="AB26" s="2">
        <f>SUMIFS(PERSALDATA!$G$2:$G$20871,PERSALDATA!$A$2:$A$20871,WORKING!A26,PERSALDATA!$D$2:$D$20871,WORKING!B26,PERSALDATA!$E$2:$E$20871,WORKING!C26,PERSALDATA!$F$2:$F$20871,"S&amp;W: BASIC SALARY (RES)")</f>
        <v>229</v>
      </c>
      <c r="AC26" s="2">
        <f>SUMIFS(PERSALDATA!$H$2:$H$20871,PERSALDATA!$A$2:$A$20871,WORKING!A26,PERSALDATA!$D$2:$D$20871,WORKING!B26,PERSALDATA!$E$2:$E$20871,WORKING!C26)</f>
        <v>66774885.250000015</v>
      </c>
    </row>
    <row r="27" spans="1:29" x14ac:dyDescent="0.25">
      <c r="A27" s="2">
        <f>Results!$D$3</f>
        <v>24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0.71005845835849646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6.1521890715434603E-2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3.198870592966542E-2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2.5765782806705426E-2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4.408941026550961E-2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9.2302138650731072E-2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8.040726532793847E-3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1.8766537402657843E-4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1.8140895292831472E-2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8.3652609654772295E-5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7.5240866050921024E-3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2.9658685905865087E-4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7.4186110093062529E-2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7.0341454094686007E-2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6.9341454094685992E-2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6.734145409468599E-2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1.3856013276461977E-2</v>
      </c>
      <c r="AB27" s="2">
        <f>SUMIFS(PERSALDATA!$G$2:$G$20871,PERSALDATA!$A$2:$A$20871,WORKING!A27,PERSALDATA!$D$2:$D$20871,WORKING!B27,PERSALDATA!$E$2:$E$20871,WORKING!C27,PERSALDATA!$F$2:$F$20871,"S&amp;W: BASIC SALARY (RES)")</f>
        <v>228</v>
      </c>
      <c r="AC27" s="2">
        <f>SUMIFS(PERSALDATA!$H$2:$H$20871,PERSALDATA!$A$2:$A$20871,WORKING!A27,PERSALDATA!$D$2:$D$20871,WORKING!B27,PERSALDATA!$E$2:$E$20871,WORKING!C27)</f>
        <v>89842146.359999985</v>
      </c>
    </row>
    <row r="28" spans="1:29" x14ac:dyDescent="0.25">
      <c r="A28" s="2">
        <f>Results!$D$3</f>
        <v>24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0.72339948999165626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5.9410594377280523E-2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2.7640450285609505E-2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2.3337157507417033E-2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3.9474960628201307E-2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9.4105165039301539E-2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6.9229076641361209E-3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1.5945623976746119E-4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1.5478238576907419E-2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2.2480998407596879E-4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9.2614840533668495E-3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5.8528565228021146E-4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7.4451975227088518E-2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7.0315719906566931E-2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6.931571990656693E-2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6.7315719906566929E-2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1.3990876992696329E-2</v>
      </c>
      <c r="AB28" s="2">
        <f>SUMIFS(PERSALDATA!$G$2:$G$20871,PERSALDATA!$A$2:$A$20871,WORKING!A28,PERSALDATA!$D$2:$D$20871,WORKING!B28,PERSALDATA!$E$2:$E$20871,WORKING!C28,PERSALDATA!$F$2:$F$20871,"S&amp;W: BASIC SALARY (RES)")</f>
        <v>168</v>
      </c>
      <c r="AC28" s="2">
        <f>SUMIFS(PERSALDATA!$H$2:$H$20871,PERSALDATA!$A$2:$A$20871,WORKING!A28,PERSALDATA!$D$2:$D$20871,WORKING!B28,PERSALDATA!$E$2:$E$20871,WORKING!C28)</f>
        <v>70820119.779999986</v>
      </c>
    </row>
    <row r="29" spans="1:29" x14ac:dyDescent="0.25">
      <c r="A29" s="2">
        <f>Results!$D$3</f>
        <v>24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0.71446869459486295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5.9396046003528276E-2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2.1190254600308388E-2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3.1312285290811266E-2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9.297838263541551E-2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1.2194525947953479E-2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1.3618721879866098E-4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1.1371404552448042E-2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5.4588178928800565E-2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1.8598050213462496E-3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5.0423520572664537E-4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7.4827912644447922E-2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7.0257781733359101E-2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6.92577817333591E-2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6.7257781733359084E-2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1.4210419093351226E-2</v>
      </c>
      <c r="AB29" s="2">
        <f>SUMIFS(PERSALDATA!$G$2:$G$20871,PERSALDATA!$A$2:$A$20871,WORKING!A29,PERSALDATA!$D$2:$D$20871,WORKING!B29,PERSALDATA!$E$2:$E$20871,WORKING!C29,PERSALDATA!$F$2:$F$20871,"S&amp;W: BASIC SALARY (RES)")</f>
        <v>70</v>
      </c>
      <c r="AC29" s="2">
        <f>SUMIFS(PERSALDATA!$H$2:$H$20871,PERSALDATA!$A$2:$A$20871,WORKING!A29,PERSALDATA!$D$2:$D$20871,WORKING!B29,PERSALDATA!$E$2:$E$20871,WORKING!C29)</f>
        <v>35229590.870000005</v>
      </c>
    </row>
    <row r="30" spans="1:29" x14ac:dyDescent="0.25">
      <c r="A30" s="2">
        <f>Results!$D$3</f>
        <v>24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0.71642537840178888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3.3557454311296211E-2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6.8843585647561725E-3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2.3789061855015008E-4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1.3399034694066836E-2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6.4587922544685594E-2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5.1987637106321949E-3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1.1695751866141281E-4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4.7610347928109626E-3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0.14987646612141467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4.7948022043533337E-3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1.5993651698353127E-4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1.4693994738337737E-2</v>
      </c>
      <c r="AB30" s="2">
        <f>SUMIFS(PERSALDATA!$G$2:$G$20871,PERSALDATA!$A$2:$A$20871,WORKING!A30,PERSALDATA!$D$2:$D$20871,WORKING!B30,PERSALDATA!$E$2:$E$20871,WORKING!C30,PERSALDATA!$F$2:$F$20871,"S&amp;W: BASIC SALARY (RES)")</f>
        <v>179</v>
      </c>
      <c r="AC30" s="2">
        <f>SUMIFS(PERSALDATA!$H$2:$H$20871,PERSALDATA!$A$2:$A$20871,WORKING!A30,PERSALDATA!$D$2:$D$20871,WORKING!B30,PERSALDATA!$E$2:$E$20871,WORKING!C30)</f>
        <v>52339516.689999983</v>
      </c>
    </row>
    <row r="31" spans="1:29" x14ac:dyDescent="0.25">
      <c r="A31" s="2">
        <f>Results!$D$3</f>
        <v>24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0.7110637352879281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4.5571156076126357E-2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1.9157010589419946E-2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2.0763416583486138E-2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9.244993476056837E-2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1.1881226992740955E-2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9.7432888767420091E-5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2.1413044569242633E-3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9.4393872035452894E-2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2.4809103285853211E-3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1.4399732099074894E-2</v>
      </c>
      <c r="AB31" s="2">
        <f>SUMIFS(PERSALDATA!$G$2:$G$20871,PERSALDATA!$A$2:$A$20871,WORKING!A31,PERSALDATA!$D$2:$D$20871,WORKING!B31,PERSALDATA!$E$2:$E$20871,WORKING!C31,PERSALDATA!$F$2:$F$20871,"S&amp;W: BASIC SALARY (RES)")</f>
        <v>34</v>
      </c>
      <c r="AC31" s="2">
        <f>SUMIFS(PERSALDATA!$H$2:$H$20871,PERSALDATA!$A$2:$A$20871,WORKING!A31,PERSALDATA!$D$2:$D$20871,WORKING!B31,PERSALDATA!$E$2:$E$20871,WORKING!C31)</f>
        <v>23874587.209999997</v>
      </c>
    </row>
    <row r="32" spans="1:29" x14ac:dyDescent="0.25">
      <c r="A32" s="2">
        <f>Results!$D$3</f>
        <v>24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0.64364652576762738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3.4624508543213944E-2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2.8077013162573737E-2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1.1582695713690671E-2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8.3673851076772901E-2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2.3288304234205554E-2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7.359844314329911E-5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0.1663315364264534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8.7019666323190255E-3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1.4404000390208883E-2</v>
      </c>
      <c r="AB32" s="2">
        <f>SUMIFS(PERSALDATA!$G$2:$G$20871,PERSALDATA!$A$2:$A$20871,WORKING!A32,PERSALDATA!$D$2:$D$20871,WORKING!B32,PERSALDATA!$E$2:$E$20871,WORKING!C32,PERSALDATA!$F$2:$F$20871,"S&amp;W: BASIC SALARY (RES)")</f>
        <v>12</v>
      </c>
      <c r="AC32" s="2">
        <f>SUMIFS(PERSALDATA!$H$2:$H$20871,PERSALDATA!$A$2:$A$20871,WORKING!A32,PERSALDATA!$D$2:$D$20871,WORKING!B32,PERSALDATA!$E$2:$E$20871,WORKING!C32)</f>
        <v>11565190.290000001</v>
      </c>
    </row>
    <row r="33" spans="1:29" x14ac:dyDescent="0.25">
      <c r="A33" s="2">
        <f>Results!$D$3</f>
        <v>24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0.59916861249455067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3.0451801671421606E-2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1.8064649227226674E-2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7.0867168398577379E-3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7.7891761842677557E-2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3.8656433141887492E-2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5.9561811752151718E-5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0.19254741470813599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3.6073048262490276E-2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1.4621836081817453E-2</v>
      </c>
      <c r="AB33" s="2">
        <f>SUMIFS(PERSALDATA!$G$2:$G$20871,PERSALDATA!$A$2:$A$20871,WORKING!A33,PERSALDATA!$D$2:$D$20871,WORKING!B33,PERSALDATA!$E$2:$E$20871,WORKING!C33,PERSALDATA!$F$2:$F$20871,"S&amp;W: BASIC SALARY (RES)")</f>
        <v>2</v>
      </c>
      <c r="AC33" s="2">
        <f>SUMIFS(PERSALDATA!$H$2:$H$20871,PERSALDATA!$A$2:$A$20871,WORKING!A33,PERSALDATA!$D$2:$D$20871,WORKING!B33,PERSALDATA!$E$2:$E$20871,WORKING!C33)</f>
        <v>4013141.8599999994</v>
      </c>
    </row>
    <row r="34" spans="1:29" x14ac:dyDescent="0.25">
      <c r="A34" s="2">
        <f>Results!$D$3</f>
        <v>24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0.52615127973412223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0.16688125421660127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1.3426256012428818E-2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6.8399561061467162E-2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4.6044160324976482E-5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0.22509560481505556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1.4797915497408696E-2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379852.73</v>
      </c>
    </row>
    <row r="35" spans="1:29" x14ac:dyDescent="0.25">
      <c r="A35" s="2">
        <f>Results!$D$3</f>
        <v>24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24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24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0.96460749496238785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2.8242626721590868E-3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3.0830131829059675E-2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1.7381105363935493E-3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7.0000000000000021E-2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6.900000000000002E-2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1.5000000000000003E-2</v>
      </c>
      <c r="AB37" s="2">
        <f>SUMIFS(PERSALDATA!$G$2:$G$20871,PERSALDATA!$A$2:$A$20871,WORKING!A37,PERSALDATA!$D$2:$D$20871,WORKING!B37,PERSALDATA!$E$2:$E$20871,WORKING!C37,PERSALDATA!$F$2:$F$20871,"S&amp;W: BASIC SALARY (RES)")</f>
        <v>13</v>
      </c>
      <c r="AC37" s="2">
        <f>SUMIFS(PERSALDATA!$H$2:$H$20871,PERSALDATA!$A$2:$A$20871,WORKING!A37,PERSALDATA!$D$2:$D$20871,WORKING!B37,PERSALDATA!$E$2:$E$20871,WORKING!C37)</f>
        <v>4956589.2499999991</v>
      </c>
    </row>
    <row r="38" spans="1:29" x14ac:dyDescent="0.25">
      <c r="A38" s="2">
        <f>Results!$D$3</f>
        <v>24</v>
      </c>
      <c r="B38" s="2">
        <v>3</v>
      </c>
      <c r="C38" s="2">
        <v>2</v>
      </c>
      <c r="D38" s="62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>0.88257748427123894</v>
      </c>
      <c r="E38" s="62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>1.6392852456216554E-2</v>
      </c>
      <c r="F38" s="62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>2.9523116688139537E-2</v>
      </c>
      <c r="G38" s="69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>8.061597316873519E-3</v>
      </c>
      <c r="H38" s="62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>3.2115214372640491E-2</v>
      </c>
      <c r="I38" s="62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>2.5465005211304736E-2</v>
      </c>
      <c r="J38" s="62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>1.8968623938283328E-3</v>
      </c>
      <c r="K38" s="62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>1.6185766086582442E-4</v>
      </c>
      <c r="L38" s="62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>0</v>
      </c>
      <c r="M38" s="62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>0</v>
      </c>
      <c r="N38" s="62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>2.982997296980022E-3</v>
      </c>
      <c r="O38" s="62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>0</v>
      </c>
      <c r="P38" s="62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>8.2301233191221757E-4</v>
      </c>
      <c r="Q38" s="62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>0</v>
      </c>
      <c r="R38" s="62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>0</v>
      </c>
      <c r="S38" s="62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>0</v>
      </c>
      <c r="T38" s="62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>0</v>
      </c>
      <c r="U38" s="62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>0</v>
      </c>
      <c r="V38" s="62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>0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7.4205856132918371E-2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7.0186497048708232E-2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6.9186497048708231E-2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6.718649704870823E-2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1.4072997169175315E-2</v>
      </c>
      <c r="AB38" s="2">
        <f>SUMIFS(PERSALDATA!$G$2:$G$20871,PERSALDATA!$A$2:$A$20871,WORKING!A38,PERSALDATA!$D$2:$D$20871,WORKING!B38,PERSALDATA!$E$2:$E$20871,WORKING!C38,PERSALDATA!$F$2:$F$20871,"S&amp;W: BASIC SALARY (RES)")</f>
        <v>299</v>
      </c>
      <c r="AC38" s="2">
        <f>SUMIFS(PERSALDATA!$H$2:$H$20871,PERSALDATA!$A$2:$A$20871,WORKING!A38,PERSALDATA!$D$2:$D$20871,WORKING!B38,PERSALDATA!$E$2:$E$20871,WORKING!C38)</f>
        <v>20963233.879999995</v>
      </c>
    </row>
    <row r="39" spans="1:29" x14ac:dyDescent="0.25">
      <c r="A39" s="2">
        <f>Results!$D$3</f>
        <v>24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0.65888870507817765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5.7300607719296126E-2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7.1783761182951142E-2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1.8146872634973998E-2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8.2738510686200917E-2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8.5800856204850812E-2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1.0151999190636172E-2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4.5975973087772961E-4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0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6.4092306848783885E-3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8.3196968871569518E-3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7.170277329970251E-2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7.0523240048463498E-2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6.9523240048463497E-2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6.7523240048463509E-2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1.2675269525999551E-2</v>
      </c>
      <c r="AB39" s="2">
        <f>SUMIFS(PERSALDATA!$G$2:$G$20871,PERSALDATA!$A$2:$A$20871,WORKING!A39,PERSALDATA!$D$2:$D$20871,WORKING!B39,PERSALDATA!$E$2:$E$20871,WORKING!C39,PERSALDATA!$F$2:$F$20871,"S&amp;W: BASIC SALARY (RES)")</f>
        <v>98</v>
      </c>
      <c r="AC39" s="2">
        <f>SUMIFS(PERSALDATA!$H$2:$H$20871,PERSALDATA!$A$2:$A$20871,WORKING!A39,PERSALDATA!$D$2:$D$20871,WORKING!B39,PERSALDATA!$E$2:$E$20871,WORKING!C39)</f>
        <v>15596842.26</v>
      </c>
    </row>
    <row r="40" spans="1:29" x14ac:dyDescent="0.25">
      <c r="A40" s="2">
        <f>Results!$D$3</f>
        <v>24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0.68357526503715749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5.7890599178390408E-2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5.7322907040509442E-2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1.3271128077478414E-2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9.022155905702535E-2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8.886379026902437E-2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2.6853855128073948E-3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3.9314094218921943E-4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5.7762248854180791E-3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7.2906560891719666E-2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7.0780094315450306E-2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6.9780094315450292E-2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6.7780094315450304E-2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1.278093589440414E-2</v>
      </c>
      <c r="AB40" s="2">
        <f>SUMIFS(PERSALDATA!$G$2:$G$20871,PERSALDATA!$A$2:$A$20871,WORKING!A40,PERSALDATA!$D$2:$D$20871,WORKING!B40,PERSALDATA!$E$2:$E$20871,WORKING!C40,PERSALDATA!$F$2:$F$20871,"S&amp;W: BASIC SALARY (RES)")</f>
        <v>17</v>
      </c>
      <c r="AC40" s="2">
        <f>SUMIFS(PERSALDATA!$H$2:$H$20871,PERSALDATA!$A$2:$A$20871,WORKING!A40,PERSALDATA!$D$2:$D$20871,WORKING!B40,PERSALDATA!$E$2:$E$20871,WORKING!C40)</f>
        <v>3736726.0499999993</v>
      </c>
    </row>
    <row r="41" spans="1:29" x14ac:dyDescent="0.25">
      <c r="A41" s="2">
        <f>Results!$D$3</f>
        <v>24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0.66730689969766055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5.9690725582447854E-2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5.6614498916008234E-2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4.306311320945575E-3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8.3707468142407676E-2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8.6749015221938466E-2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1.7156287358355057E-2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3.343351827732772E-4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1.437010648043963E-2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9.7643520970235754E-3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7.2869202636377056E-2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7.0689467032976031E-2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6.9689467032976016E-2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6.7689467032976028E-2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1.2890155466382161E-2</v>
      </c>
      <c r="AB41" s="2">
        <f>SUMIFS(PERSALDATA!$G$2:$G$20871,PERSALDATA!$A$2:$A$20871,WORKING!A41,PERSALDATA!$D$2:$D$20871,WORKING!B41,PERSALDATA!$E$2:$E$20871,WORKING!C41,PERSALDATA!$F$2:$F$20871,"S&amp;W: BASIC SALARY (RES)")</f>
        <v>29</v>
      </c>
      <c r="AC41" s="2">
        <f>SUMIFS(PERSALDATA!$H$2:$H$20871,PERSALDATA!$A$2:$A$20871,WORKING!A41,PERSALDATA!$D$2:$D$20871,WORKING!B41,PERSALDATA!$E$2:$E$20871,WORKING!C41)</f>
        <v>5457965.8200000003</v>
      </c>
    </row>
    <row r="42" spans="1:29" x14ac:dyDescent="0.25">
      <c r="A42" s="2">
        <f>Results!$D$3</f>
        <v>24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0.68944486832928842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5.7055428617562076E-2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4.8558101963530782E-2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1.9715026119864333E-3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5.5200653786939918E-2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8.9627051558654192E-2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3.6104160715296707E-2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2.721137076475702E-4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1.5300985470711678E-2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6.4651332383821817E-3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7.3082393403788831E-2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7.0342428787168801E-2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6.93424287871688E-2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6.7342428787168784E-2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1.3439536958128226E-2</v>
      </c>
      <c r="AB42" s="2">
        <f>SUMIFS(PERSALDATA!$G$2:$G$20871,PERSALDATA!$A$2:$A$20871,WORKING!A42,PERSALDATA!$D$2:$D$20871,WORKING!B42,PERSALDATA!$E$2:$E$20871,WORKING!C42,PERSALDATA!$F$2:$F$20871,"S&amp;W: BASIC SALARY (RES)")</f>
        <v>11</v>
      </c>
      <c r="AC42" s="2">
        <f>SUMIFS(PERSALDATA!$H$2:$H$20871,PERSALDATA!$A$2:$A$20871,WORKING!A42,PERSALDATA!$D$2:$D$20871,WORKING!B42,PERSALDATA!$E$2:$E$20871,WORKING!C42)</f>
        <v>3663652.2600000002</v>
      </c>
    </row>
    <row r="43" spans="1:29" x14ac:dyDescent="0.25">
      <c r="A43" s="2">
        <f>Results!$D$3</f>
        <v>24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0.72160932455426308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5.8065368260986037E-2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3.9980835909005003E-2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5.5685218092910019E-4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4.2046230677369775E-2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9.3808568032885092E-2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4.1180535696035629E-2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2.4967877060693355E-4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2.5026059179193774E-3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7.3550103700398814E-2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7.023088510107052E-2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6.9230885101070505E-2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6.7230885101070503E-2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1.3765848819645272E-2</v>
      </c>
      <c r="AB43" s="2">
        <f>SUMIFS(PERSALDATA!$G$2:$G$20871,PERSALDATA!$A$2:$A$20871,WORKING!A43,PERSALDATA!$D$2:$D$20871,WORKING!B43,PERSALDATA!$E$2:$E$20871,WORKING!C43,PERSALDATA!$F$2:$F$20871,"S&amp;W: BASIC SALARY (RES)")</f>
        <v>25</v>
      </c>
      <c r="AC43" s="2">
        <f>SUMIFS(PERSALDATA!$H$2:$H$20871,PERSALDATA!$A$2:$A$20871,WORKING!A43,PERSALDATA!$D$2:$D$20871,WORKING!B43,PERSALDATA!$E$2:$E$20871,WORKING!C43)</f>
        <v>7098400.8600000003</v>
      </c>
    </row>
    <row r="44" spans="1:29" x14ac:dyDescent="0.25">
      <c r="A44" s="2">
        <f>Results!$D$3</f>
        <v>24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0.71284704122125586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5.93288776266514E-2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3.4748225642741201E-2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9.4927732495643372E-4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4.3561722618076747E-2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9.1222431711647942E-2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1.7924320576277294E-2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1.9148036819240856E-4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2.7834982730918022E-2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4.118891146628694E-3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7.2727490326541218E-3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7.3968998967804747E-2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7.0305943582843769E-2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6.9305943582843768E-2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6.7305943582843739E-2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1.3822478570564846E-2</v>
      </c>
      <c r="AB44" s="2">
        <f>SUMIFS(PERSALDATA!$G$2:$G$20871,PERSALDATA!$A$2:$A$20871,WORKING!A44,PERSALDATA!$D$2:$D$20871,WORKING!B44,PERSALDATA!$E$2:$E$20871,WORKING!C44,PERSALDATA!$F$2:$F$20871,"S&amp;W: BASIC SALARY (RES)")</f>
        <v>61</v>
      </c>
      <c r="AC44" s="2">
        <f>SUMIFS(PERSALDATA!$H$2:$H$20871,PERSALDATA!$A$2:$A$20871,WORKING!A44,PERSALDATA!$D$2:$D$20871,WORKING!B44,PERSALDATA!$E$2:$E$20871,WORKING!C44)</f>
        <v>22896133.119999997</v>
      </c>
    </row>
    <row r="45" spans="1:29" x14ac:dyDescent="0.25">
      <c r="A45" s="2">
        <f>Results!$D$3</f>
        <v>24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0.74962338753539826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6.6549792789628401E-2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2.7050655984454976E-2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1.5674379406504016E-3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2.7396190431476963E-2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9.7450523420535493E-2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2.227690839318186E-2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1.7364950633464441E-4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3.5231570439525472E-3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4.3882969543860466E-3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7.4327696811222074E-2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7.0140436296627598E-2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6.9140436296627583E-2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6.7140436296627581E-2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1.4180692561165994E-2</v>
      </c>
      <c r="AB45" s="2">
        <f>SUMIFS(PERSALDATA!$G$2:$G$20871,PERSALDATA!$A$2:$A$20871,WORKING!A45,PERSALDATA!$D$2:$D$20871,WORKING!B45,PERSALDATA!$E$2:$E$20871,WORKING!C45,PERSALDATA!$F$2:$F$20871,"S&amp;W: BASIC SALARY (RES)")</f>
        <v>28</v>
      </c>
      <c r="AC45" s="2">
        <f>SUMIFS(PERSALDATA!$H$2:$H$20871,PERSALDATA!$A$2:$A$20871,WORKING!A45,PERSALDATA!$D$2:$D$20871,WORKING!B45,PERSALDATA!$E$2:$E$20871,WORKING!C45)</f>
        <v>11079213.760000004</v>
      </c>
    </row>
    <row r="46" spans="1:29" x14ac:dyDescent="0.25">
      <c r="A46" s="2">
        <f>Results!$D$3</f>
        <v>24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0.7276837851230703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5.1229480903637409E-2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1.946118481755638E-2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2.991162066134196E-2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8.8980962033413796E-2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7.6467101243226591E-3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1.3695061638447346E-4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1.2980260950286196E-2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5.7439012515428906E-2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4.5300322545579509E-3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7.4939712643124504E-2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7.0254062461744565E-2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6.9254062461744564E-2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6.7254062461744576E-2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1.4257353658570759E-2</v>
      </c>
      <c r="AB46" s="2">
        <f>SUMIFS(PERSALDATA!$G$2:$G$20871,PERSALDATA!$A$2:$A$20871,WORKING!A46,PERSALDATA!$D$2:$D$20871,WORKING!B46,PERSALDATA!$E$2:$E$20871,WORKING!C46,PERSALDATA!$F$2:$F$20871,"S&amp;W: BASIC SALARY (RES)")</f>
        <v>33</v>
      </c>
      <c r="AC46" s="2">
        <f>SUMIFS(PERSALDATA!$H$2:$H$20871,PERSALDATA!$A$2:$A$20871,WORKING!A46,PERSALDATA!$D$2:$D$20871,WORKING!B46,PERSALDATA!$E$2:$E$20871,WORKING!C46)</f>
        <v>16134063.929999998</v>
      </c>
    </row>
    <row r="47" spans="1:29" x14ac:dyDescent="0.25">
      <c r="A47" s="2">
        <f>Results!$D$3</f>
        <v>24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0.70438829915994017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5.2570028125114229E-2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2.0433411054935249E-2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1.6874750164878431E-2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9.0526002014738982E-2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1.7254434991451753E-2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1.0827208070816503E-4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9.0819263342692289E-2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7.0255390655408912E-3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1.4438753500492174E-2</v>
      </c>
      <c r="AB47" s="2">
        <f>SUMIFS(PERSALDATA!$G$2:$G$20871,PERSALDATA!$A$2:$A$20871,WORKING!A47,PERSALDATA!$D$2:$D$20871,WORKING!B47,PERSALDATA!$E$2:$E$20871,WORKING!C47,PERSALDATA!$F$2:$F$20871,"S&amp;W: BASIC SALARY (RES)")</f>
        <v>17</v>
      </c>
      <c r="AC47" s="2">
        <f>SUMIFS(PERSALDATA!$H$2:$H$20871,PERSALDATA!$A$2:$A$20871,WORKING!A47,PERSALDATA!$D$2:$D$20871,WORKING!B47,PERSALDATA!$E$2:$E$20871,WORKING!C47)</f>
        <v>10176861.779999999</v>
      </c>
    </row>
    <row r="48" spans="1:29" x14ac:dyDescent="0.25">
      <c r="A48" s="2">
        <f>Results!$D$3</f>
        <v>24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0.66719271107263145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4.9292623827586382E-2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9.6456487258644134E-3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2.4648634292749935E-2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8.6786683704097964E-2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2.4976963357644686E-2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9.1277321243652651E-5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2.1260271913438648E-2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0.10487462353819604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1.1230562246546781E-2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1.448421659490213E-2</v>
      </c>
      <c r="AB48" s="2">
        <f>SUMIFS(PERSALDATA!$G$2:$G$20871,PERSALDATA!$A$2:$A$20871,WORKING!A48,PERSALDATA!$D$2:$D$20871,WORKING!B48,PERSALDATA!$E$2:$E$20871,WORKING!C48,PERSALDATA!$F$2:$F$20871,"S&amp;W: BASIC SALARY (RES)")</f>
        <v>13</v>
      </c>
      <c r="AC48" s="2">
        <f>SUMIFS(PERSALDATA!$H$2:$H$20871,PERSALDATA!$A$2:$A$20871,WORKING!A48,PERSALDATA!$D$2:$D$20871,WORKING!B48,PERSALDATA!$E$2:$E$20871,WORKING!C48)</f>
        <v>9580693.0800000001</v>
      </c>
    </row>
    <row r="49" spans="1:29" x14ac:dyDescent="0.25">
      <c r="A49" s="2">
        <f>Results!$D$3</f>
        <v>24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0.66106137934715092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4.7736942826949659E-2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3.0134990598883252E-2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2.3661557122869669E-2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8.5937777843355559E-2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1.1675436293106857E-2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7.5128071495184667E-5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0.1320623464519366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7.654441444252447E-3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1.419192486310128E-2</v>
      </c>
      <c r="AB49" s="2">
        <f>SUMIFS(PERSALDATA!$G$2:$G$20871,PERSALDATA!$A$2:$A$20871,WORKING!A49,PERSALDATA!$D$2:$D$20871,WORKING!B49,PERSALDATA!$E$2:$E$20871,WORKING!C49,PERSALDATA!$F$2:$F$20871,"S&amp;W: BASIC SALARY (RES)")</f>
        <v>8</v>
      </c>
      <c r="AC49" s="2">
        <f>SUMIFS(PERSALDATA!$H$2:$H$20871,PERSALDATA!$A$2:$A$20871,WORKING!A49,PERSALDATA!$D$2:$D$20871,WORKING!B49,PERSALDATA!$E$2:$E$20871,WORKING!C49)</f>
        <v>7449678.7799999984</v>
      </c>
    </row>
    <row r="50" spans="1:29" x14ac:dyDescent="0.25">
      <c r="A50" s="2">
        <f>Results!$D$3</f>
        <v>24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0.61216328296749134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5.8929237374135933E-2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2.5197353096269928E-2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1.241584168288388E-2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7.9581087176682316E-2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6.4153029802684023E-5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0.18965838939091215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2.1990655281821762E-2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1.443483978286565E-2</v>
      </c>
      <c r="AB50" s="2">
        <f>SUMIFS(PERSALDATA!$G$2:$G$20871,PERSALDATA!$A$2:$A$20871,WORKING!A50,PERSALDATA!$D$2:$D$20871,WORKING!B50,PERSALDATA!$E$2:$E$20871,WORKING!C50,PERSALDATA!$F$2:$F$20871,"S&amp;W: BASIC SALARY (RES)")</f>
        <v>3</v>
      </c>
      <c r="AC50" s="2">
        <f>SUMIFS(PERSALDATA!$H$2:$H$20871,PERSALDATA!$A$2:$A$20871,WORKING!A50,PERSALDATA!$D$2:$D$20871,WORKING!B50,PERSALDATA!$E$2:$E$20871,WORKING!C50)</f>
        <v>3544181.79</v>
      </c>
    </row>
    <row r="51" spans="1:29" x14ac:dyDescent="0.25">
      <c r="A51" s="2">
        <f>Results!$D$3</f>
        <v>24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0.63863104934129777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4.640890533310079E-2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0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4.8976444817728691E-2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4.817176040735626E-5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0.23636545153686297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2.9569977210602349E-2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1.4999277423593889E-2</v>
      </c>
      <c r="AB51" s="2">
        <f>SUMIFS(PERSALDATA!$G$2:$G$20871,PERSALDATA!$A$2:$A$20871,WORKING!A51,PERSALDATA!$D$2:$D$20871,WORKING!B51,PERSALDATA!$E$2:$E$20871,WORKING!C51,PERSALDATA!$F$2:$F$20871,"S&amp;W: BASIC SALARY (RES)")</f>
        <v>3</v>
      </c>
      <c r="AC51" s="2">
        <f>SUMIFS(PERSALDATA!$H$2:$H$20871,PERSALDATA!$A$2:$A$20871,WORKING!A51,PERSALDATA!$D$2:$D$20871,WORKING!B51,PERSALDATA!$E$2:$E$20871,WORKING!C51)</f>
        <v>3388707.3800000004</v>
      </c>
    </row>
    <row r="52" spans="1:29" x14ac:dyDescent="0.25">
      <c r="A52" s="2">
        <f>Results!$D$3</f>
        <v>24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24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24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24</v>
      </c>
      <c r="B55" s="2">
        <v>4</v>
      </c>
      <c r="C55" s="2">
        <v>2</v>
      </c>
      <c r="D55" s="62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>0.50361757460652601</v>
      </c>
      <c r="E55" s="62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>4.212348537080491E-2</v>
      </c>
      <c r="F55" s="62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>7.9706644124446877E-2</v>
      </c>
      <c r="G55" s="69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>0</v>
      </c>
      <c r="H55" s="62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>0.17031759997980767</v>
      </c>
      <c r="I55" s="62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>6.5469266225062342E-2</v>
      </c>
      <c r="J55" s="62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>4.1889826819603057E-2</v>
      </c>
      <c r="K55" s="62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>4.1305754244046688E-4</v>
      </c>
      <c r="L55" s="62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>0</v>
      </c>
      <c r="M55" s="62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>0</v>
      </c>
      <c r="N55" s="62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>9.646254533130881E-2</v>
      </c>
      <c r="O55" s="62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>0</v>
      </c>
      <c r="P55" s="62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>0</v>
      </c>
      <c r="Q55" s="62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>0</v>
      </c>
      <c r="R55" s="62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>0</v>
      </c>
      <c r="S55" s="62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>0</v>
      </c>
      <c r="T55" s="62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>0</v>
      </c>
      <c r="U55" s="62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>0</v>
      </c>
      <c r="V55" s="62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>0</v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7.2326741446259349E-2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7.1757697558452668E-2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7.0757697558452654E-2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6.8757697558452652E-2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1.1243440475299578E-2</v>
      </c>
      <c r="AB55" s="2">
        <f>SUMIFS(PERSALDATA!$G$2:$G$20871,PERSALDATA!$A$2:$A$20871,WORKING!A55,PERSALDATA!$D$2:$D$20871,WORKING!B55,PERSALDATA!$E$2:$E$20871,WORKING!C55,PERSALDATA!$F$2:$F$20871,"S&amp;W: BASIC SALARY (RES)")</f>
        <v>2</v>
      </c>
      <c r="AC55" s="2">
        <f>SUMIFS(PERSALDATA!$H$2:$H$20871,PERSALDATA!$A$2:$A$20871,WORKING!A55,PERSALDATA!$D$2:$D$20871,WORKING!B55,PERSALDATA!$E$2:$E$20871,WORKING!C55)</f>
        <v>338742.14999999997</v>
      </c>
    </row>
    <row r="56" spans="1:29" x14ac:dyDescent="0.25">
      <c r="A56" s="2">
        <f>Results!$D$3</f>
        <v>24</v>
      </c>
      <c r="B56" s="2">
        <v>4</v>
      </c>
      <c r="C56" s="2">
        <v>3</v>
      </c>
      <c r="D56" s="62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>0.68525479471632145</v>
      </c>
      <c r="E56" s="62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>5.7097951394144614E-2</v>
      </c>
      <c r="F56" s="62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>8.7571843265929261E-2</v>
      </c>
      <c r="G56" s="69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>0</v>
      </c>
      <c r="H56" s="62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>4.4869900589570189E-2</v>
      </c>
      <c r="I56" s="62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>8.9081868628817673E-2</v>
      </c>
      <c r="J56" s="62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>3.5645939560781631E-2</v>
      </c>
      <c r="K56" s="62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>4.7770184443543165E-4</v>
      </c>
      <c r="L56" s="62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>0</v>
      </c>
      <c r="M56" s="62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>0</v>
      </c>
      <c r="N56" s="62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>0</v>
      </c>
      <c r="O56" s="62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>0</v>
      </c>
      <c r="P56" s="62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>0</v>
      </c>
      <c r="Q56" s="62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>0</v>
      </c>
      <c r="R56" s="62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>0</v>
      </c>
      <c r="S56" s="62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>0</v>
      </c>
      <c r="T56" s="62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>0</v>
      </c>
      <c r="U56" s="62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>0</v>
      </c>
      <c r="V56" s="62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>0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6.9972718520043373E-2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6.9797330076184286E-2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6.8797330076184285E-2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6.6797330076184269E-2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1.3006208314500981E-2</v>
      </c>
      <c r="AB56" s="2">
        <f>SUMIFS(PERSALDATA!$G$2:$G$20871,PERSALDATA!$A$2:$A$20871,WORKING!A56,PERSALDATA!$D$2:$D$20871,WORKING!B56,PERSALDATA!$E$2:$E$20871,WORKING!C56,PERSALDATA!$F$2:$F$20871,"S&amp;W: BASIC SALARY (RES)")</f>
        <v>4</v>
      </c>
      <c r="AC56" s="2">
        <f>SUMIFS(PERSALDATA!$H$2:$H$20871,PERSALDATA!$A$2:$A$20871,WORKING!A56,PERSALDATA!$D$2:$D$20871,WORKING!B56,PERSALDATA!$E$2:$E$20871,WORKING!C56)</f>
        <v>585804.72999999986</v>
      </c>
    </row>
    <row r="57" spans="1:29" x14ac:dyDescent="0.25">
      <c r="A57" s="2">
        <f>Results!$D$3</f>
        <v>24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0.65453417770262068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5.444941321905538E-2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6.3834503826008027E-2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0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0.14168035884534086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8.5088040676635418E-2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0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4.1350573033958535E-4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0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0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7.313210273305816E-2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7.1486860344420047E-2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7.0486860344420046E-2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6.8486860344420031E-2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1.1911074473974671E-2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155088.54</v>
      </c>
    </row>
    <row r="58" spans="1:29" x14ac:dyDescent="0.25">
      <c r="A58" s="2">
        <f>Results!$D$3</f>
        <v>24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0.6799201142333734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4.8969787084524555E-2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6.4125952011814993E-2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0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8.5264148893320152E-2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8.8388844879230155E-2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2.1040506318290981E-2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3.5732788552342309E-4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1.1933318693922451E-2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7.2320125731608537E-2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7.0637702713281667E-2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6.9637702713281679E-2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6.7637702713281664E-2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1.2753788568140122E-2</v>
      </c>
      <c r="AB58" s="2">
        <f>SUMIFS(PERSALDATA!$G$2:$G$20871,PERSALDATA!$A$2:$A$20871,WORKING!A58,PERSALDATA!$D$2:$D$20871,WORKING!B58,PERSALDATA!$E$2:$E$20871,WORKING!C58,PERSALDATA!$F$2:$F$20871,"S&amp;W: BASIC SALARY (RES)")</f>
        <v>5</v>
      </c>
      <c r="AC58" s="2">
        <f>SUMIFS(PERSALDATA!$H$2:$H$20871,PERSALDATA!$A$2:$A$20871,WORKING!A58,PERSALDATA!$D$2:$D$20871,WORKING!B58,PERSALDATA!$E$2:$E$20871,WORKING!C58)</f>
        <v>1305243.7799999998</v>
      </c>
    </row>
    <row r="59" spans="1:29" x14ac:dyDescent="0.25">
      <c r="A59" s="2">
        <f>Results!$D$3</f>
        <v>24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0.75464914084841872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6.3464439686412258E-2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4.8921583091154727E-2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2.488071857739204E-2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9.8103497454306035E-2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9.6676295830061178E-3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3.1299075931021347E-4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7.2630289745155729E-2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6.9883994947749342E-2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6.8883994947749355E-2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6.688399494774934E-2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1.3888270613582146E-2</v>
      </c>
      <c r="AB59" s="2">
        <f>SUMIFS(PERSALDATA!$G$2:$G$20871,PERSALDATA!$A$2:$A$20871,WORKING!A59,PERSALDATA!$D$2:$D$20871,WORKING!B59,PERSALDATA!$E$2:$E$20871,WORKING!C59,PERSALDATA!$F$2:$F$20871,"S&amp;W: BASIC SALARY (RES)")</f>
        <v>5</v>
      </c>
      <c r="AC59" s="2">
        <f>SUMIFS(PERSALDATA!$H$2:$H$20871,PERSALDATA!$A$2:$A$20871,WORKING!A59,PERSALDATA!$D$2:$D$20871,WORKING!B59,PERSALDATA!$E$2:$E$20871,WORKING!C59)</f>
        <v>1490139.8399999999</v>
      </c>
    </row>
    <row r="60" spans="1:29" x14ac:dyDescent="0.25">
      <c r="A60" s="2">
        <f>Results!$D$3</f>
        <v>24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0.69692207988859944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5.9741815645769386E-2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3.9695364401528238E-2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6.71384670345989E-2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9.0599318086940786E-2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4.5665806700182901E-2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2.371482423804374E-4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7.3923090843968239E-2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7.0610123361503727E-2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6.9610123361503726E-2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6.761012336150371E-2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1.3393935304822387E-2</v>
      </c>
      <c r="AB60" s="2">
        <f>SUMIFS(PERSALDATA!$G$2:$G$20871,PERSALDATA!$A$2:$A$20871,WORKING!A60,PERSALDATA!$D$2:$D$20871,WORKING!B60,PERSALDATA!$E$2:$E$20871,WORKING!C60,PERSALDATA!$F$2:$F$20871,"S&amp;W: BASIC SALARY (RES)")</f>
        <v>16</v>
      </c>
      <c r="AC60" s="2">
        <f>SUMIFS(PERSALDATA!$H$2:$H$20871,PERSALDATA!$A$2:$A$20871,WORKING!A60,PERSALDATA!$D$2:$D$20871,WORKING!B60,PERSALDATA!$E$2:$E$20871,WORKING!C60)</f>
        <v>4277577.5599999996</v>
      </c>
    </row>
    <row r="61" spans="1:29" x14ac:dyDescent="0.25">
      <c r="A61" s="2">
        <f>Results!$D$3</f>
        <v>24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0.74209197677377525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5.6986238639745473E-2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3.5827304245090411E-2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4.0837804479945713E-2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9.6471378074299882E-2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2.5298108985517008E-2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2.0422317905651339E-4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3.6824195752198835E-4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1.9147236650478596E-3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7.3848854140092388E-2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7.0254294024748296E-2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6.9254294024748295E-2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6.7254294024748293E-2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1.3846960021438611E-2</v>
      </c>
      <c r="AB61" s="2">
        <f>SUMIFS(PERSALDATA!$G$2:$G$20871,PERSALDATA!$A$2:$A$20871,WORKING!A61,PERSALDATA!$D$2:$D$20871,WORKING!B61,PERSALDATA!$E$2:$E$20871,WORKING!C61,PERSALDATA!$F$2:$F$20871,"S&amp;W: BASIC SALARY (RES)")</f>
        <v>26</v>
      </c>
      <c r="AC61" s="2">
        <f>SUMIFS(PERSALDATA!$H$2:$H$20871,PERSALDATA!$A$2:$A$20871,WORKING!A61,PERSALDATA!$D$2:$D$20871,WORKING!B61,PERSALDATA!$E$2:$E$20871,WORKING!C61)</f>
        <v>9277840.0999999996</v>
      </c>
    </row>
    <row r="62" spans="1:29" x14ac:dyDescent="0.25">
      <c r="A62" s="2">
        <f>Results!$D$3</f>
        <v>24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0.7313432209374523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6.4878087793533407E-2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2.6443802210344682E-2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3.1663276488846974E-2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9.5074123463371102E-2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2.5981191753129587E-2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1.6685608970173937E-4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3.9070762789284062E-3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3.0137330028721845E-4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2.024099168440472E-2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7.4433556902857662E-2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7.0210511125229275E-2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6.9210511125229288E-2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6.7210511125229272E-2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1.41258909781666E-2</v>
      </c>
      <c r="AB62" s="2">
        <f>SUMIFS(PERSALDATA!$G$2:$G$20871,PERSALDATA!$A$2:$A$20871,WORKING!A62,PERSALDATA!$D$2:$D$20871,WORKING!B62,PERSALDATA!$E$2:$E$20871,WORKING!C62,PERSALDATA!$F$2:$F$20871,"S&amp;W: BASIC SALARY (RES)")</f>
        <v>24</v>
      </c>
      <c r="AC62" s="2">
        <f>SUMIFS(PERSALDATA!$H$2:$H$20871,PERSALDATA!$A$2:$A$20871,WORKING!A62,PERSALDATA!$D$2:$D$20871,WORKING!B62,PERSALDATA!$E$2:$E$20871,WORKING!C62)</f>
        <v>9994780.5499999989</v>
      </c>
    </row>
    <row r="63" spans="1:29" x14ac:dyDescent="0.25">
      <c r="A63" s="2">
        <f>Results!$D$3</f>
        <v>24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0.7630363582006473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6.4847637353774135E-2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2.0031646197930606E-2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3.0882722280479016E-2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9.9194354729334633E-2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2.1869662844903968E-2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1.3761839293033307E-4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7.4909953000883989E-2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7.0262924372227878E-2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6.9262924372227891E-2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6.7262924372227889E-2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1.42342201969299E-2</v>
      </c>
      <c r="AB63" s="2">
        <f>SUMIFS(PERSALDATA!$G$2:$G$20871,PERSALDATA!$A$2:$A$20871,WORKING!A63,PERSALDATA!$D$2:$D$20871,WORKING!B63,PERSALDATA!$E$2:$E$20871,WORKING!C63,PERSALDATA!$F$2:$F$20871,"S&amp;W: BASIC SALARY (RES)")</f>
        <v>17</v>
      </c>
      <c r="AC63" s="2">
        <f>SUMIFS(PERSALDATA!$H$2:$H$20871,PERSALDATA!$A$2:$A$20871,WORKING!A63,PERSALDATA!$D$2:$D$20871,WORKING!B63,PERSALDATA!$E$2:$E$20871,WORKING!C63)</f>
        <v>9150521.0399999991</v>
      </c>
    </row>
    <row r="64" spans="1:29" x14ac:dyDescent="0.25">
      <c r="A64" s="2">
        <f>Results!$D$3</f>
        <v>24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0.69951752025339575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4.293950403594466E-2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9.5659027833725121E-3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2.3278934602956838E-2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9.0936991945324577E-2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2.2164338800070266E-2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1.0313767206845851E-4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7.8191058770665622E-2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3.2138684062556648E-2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1.1639270736446842E-3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1.4505780374124035E-2</v>
      </c>
      <c r="AB64" s="2">
        <f>SUMIFS(PERSALDATA!$G$2:$G$20871,PERSALDATA!$A$2:$A$20871,WORKING!A64,PERSALDATA!$D$2:$D$20871,WORKING!B64,PERSALDATA!$E$2:$E$20871,WORKING!C64,PERSALDATA!$F$2:$F$20871,"S&amp;W: BASIC SALARY (RES)")</f>
        <v>10</v>
      </c>
      <c r="AC64" s="2">
        <f>SUMIFS(PERSALDATA!$H$2:$H$20871,PERSALDATA!$A$2:$A$20871,WORKING!A64,PERSALDATA!$D$2:$D$20871,WORKING!B64,PERSALDATA!$E$2:$E$20871,WORKING!C64)</f>
        <v>7631062.2899999982</v>
      </c>
    </row>
    <row r="65" spans="1:29" x14ac:dyDescent="0.25">
      <c r="A65" s="2">
        <f>Results!$D$3</f>
        <v>24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0.67936068488278889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3.9710151908532804E-2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2.0114369826648458E-2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2.0484714101738768E-2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8.8316646826637965E-2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4.2337642491525364E-2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9.1405086151861141E-5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9.0402276978280946E-2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1.8358110439941379E-2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8.239974577535404E-4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1.4389642664781911E-2</v>
      </c>
      <c r="AB65" s="2">
        <f>SUMIFS(PERSALDATA!$G$2:$G$20871,PERSALDATA!$A$2:$A$20871,WORKING!A65,PERSALDATA!$D$2:$D$20871,WORKING!B65,PERSALDATA!$E$2:$E$20871,WORKING!C65,PERSALDATA!$F$2:$F$20871,"S&amp;W: BASIC SALARY (RES)")</f>
        <v>16</v>
      </c>
      <c r="AC65" s="2">
        <f>SUMIFS(PERSALDATA!$H$2:$H$20871,PERSALDATA!$A$2:$A$20871,WORKING!A65,PERSALDATA!$D$2:$D$20871,WORKING!B65,PERSALDATA!$E$2:$E$20871,WORKING!C65)</f>
        <v>10779159.470000001</v>
      </c>
    </row>
    <row r="66" spans="1:29" x14ac:dyDescent="0.25">
      <c r="A66" s="2">
        <f>Results!$D$3</f>
        <v>24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0.62041192609022078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4.5054748441046344E-2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3.9198370199938166E-2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1.9430496461575384E-2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8.0653346574116144E-2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2.5605283202942308E-2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7.0970962194297972E-5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0.14085202912483544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2.6148443227988739E-2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2.5743857151423453E-3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1.4119502435644379E-2</v>
      </c>
      <c r="AB66" s="2">
        <f>SUMIFS(PERSALDATA!$G$2:$G$20871,PERSALDATA!$A$2:$A$20871,WORKING!A66,PERSALDATA!$D$2:$D$20871,WORKING!B66,PERSALDATA!$E$2:$E$20871,WORKING!C66,PERSALDATA!$F$2:$F$20871,"S&amp;W: BASIC SALARY (RES)")</f>
        <v>7</v>
      </c>
      <c r="AC66" s="2">
        <f>SUMIFS(PERSALDATA!$H$2:$H$20871,PERSALDATA!$A$2:$A$20871,WORKING!A66,PERSALDATA!$D$2:$D$20871,WORKING!B66,PERSALDATA!$E$2:$E$20871,WORKING!C66)</f>
        <v>6900286.8899999997</v>
      </c>
    </row>
    <row r="67" spans="1:29" x14ac:dyDescent="0.25">
      <c r="A67" s="2">
        <f>Results!$D$3</f>
        <v>24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0.59199301386841086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4.0702614688312877E-2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1.9342111111675768E-2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1.0871389666499275E-2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7.6958960077916319E-2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1.0826327772959639E-2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6.2405942000957364E-5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0.24497542167815248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3.3446930667215637E-3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9.2306212735016968E-4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1.4545861399197358E-2</v>
      </c>
      <c r="AB67" s="2">
        <f>SUMIFS(PERSALDATA!$G$2:$G$20871,PERSALDATA!$A$2:$A$20871,WORKING!A67,PERSALDATA!$D$2:$D$20871,WORKING!B67,PERSALDATA!$E$2:$E$20871,WORKING!C67,PERSALDATA!$F$2:$F$20871,"S&amp;W: BASIC SALARY (RES)")</f>
        <v>9</v>
      </c>
      <c r="AC67" s="2">
        <f>SUMIFS(PERSALDATA!$H$2:$H$20871,PERSALDATA!$A$2:$A$20871,WORKING!A67,PERSALDATA!$D$2:$D$20871,WORKING!B67,PERSALDATA!$E$2:$E$20871,WORKING!C67)</f>
        <v>9622320.9000000004</v>
      </c>
    </row>
    <row r="68" spans="1:29" x14ac:dyDescent="0.25">
      <c r="A68" s="2">
        <f>Results!$D$3</f>
        <v>24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0.62277559636654867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3.6866806043038505E-2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1.0903411579716037E-2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7.5604255893750999E-3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8.1129792317885793E-2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5.0853511607795593E-5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0.23763498518940543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3.0781294024227915E-3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1.4722279639789518E-2</v>
      </c>
      <c r="AB68" s="2">
        <f>SUMIFS(PERSALDATA!$G$2:$G$20871,PERSALDATA!$A$2:$A$20871,WORKING!A68,PERSALDATA!$D$2:$D$20871,WORKING!B68,PERSALDATA!$E$2:$E$20871,WORKING!C68,PERSALDATA!$F$2:$F$20871,"S&amp;W: BASIC SALARY (RES)")</f>
        <v>4</v>
      </c>
      <c r="AC68" s="2">
        <f>SUMIFS(PERSALDATA!$H$2:$H$20871,PERSALDATA!$A$2:$A$20871,WORKING!A68,PERSALDATA!$D$2:$D$20871,WORKING!B68,PERSALDATA!$E$2:$E$20871,WORKING!C68)</f>
        <v>5502864.8199999994</v>
      </c>
    </row>
    <row r="69" spans="1:29" x14ac:dyDescent="0.25">
      <c r="A69" s="2">
        <f>Results!$D$3</f>
        <v>24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24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24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0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1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0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0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6.9000000000000006E-2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1.4999999999999999E-2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6476.5</v>
      </c>
    </row>
    <row r="72" spans="1:29" x14ac:dyDescent="0.25">
      <c r="A72" s="2">
        <f>Results!$D$3</f>
        <v>24</v>
      </c>
      <c r="B72" s="2">
        <v>5</v>
      </c>
      <c r="C72" s="2">
        <v>2</v>
      </c>
      <c r="D72" s="62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>0.65482313622824784</v>
      </c>
      <c r="E72" s="62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>5.6371644926821007E-2</v>
      </c>
      <c r="F72" s="62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>9.798735169839029E-2</v>
      </c>
      <c r="G72" s="69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>7.5528615441002008E-3</v>
      </c>
      <c r="H72" s="62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>6.8208999862907779E-2</v>
      </c>
      <c r="I72" s="62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>8.5265307405994667E-2</v>
      </c>
      <c r="J72" s="62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>5.3473064531344098E-3</v>
      </c>
      <c r="K72" s="62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>5.5103188555429819E-4</v>
      </c>
      <c r="L72" s="62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>0</v>
      </c>
      <c r="M72" s="62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>5.2988060095012445E-6</v>
      </c>
      <c r="N72" s="62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>1.0178537254581921E-2</v>
      </c>
      <c r="O72" s="62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>0</v>
      </c>
      <c r="P72" s="62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>1.3708523934258058E-2</v>
      </c>
      <c r="Q72" s="62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>0</v>
      </c>
      <c r="R72" s="62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>0</v>
      </c>
      <c r="S72" s="62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>0</v>
      </c>
      <c r="T72" s="62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>0</v>
      </c>
      <c r="U72" s="62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>0</v>
      </c>
      <c r="V72" s="62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>0</v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6.9507887269003032E-2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7.0043261480959726E-2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6.9043261480959711E-2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6.7043261480959723E-2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1.2498789248297212E-2</v>
      </c>
      <c r="AB72" s="2">
        <f>SUMIFS(PERSALDATA!$G$2:$G$20871,PERSALDATA!$A$2:$A$20871,WORKING!A72,PERSALDATA!$D$2:$D$20871,WORKING!B72,PERSALDATA!$E$2:$E$20871,WORKING!C72,PERSALDATA!$F$2:$F$20871,"S&amp;W: BASIC SALARY (RES)")</f>
        <v>285</v>
      </c>
      <c r="AC72" s="2">
        <f>SUMIFS(PERSALDATA!$H$2:$H$20871,PERSALDATA!$A$2:$A$20871,WORKING!A72,PERSALDATA!$D$2:$D$20871,WORKING!B72,PERSALDATA!$E$2:$E$20871,WORKING!C72)</f>
        <v>41420652.04999999</v>
      </c>
    </row>
    <row r="73" spans="1:29" x14ac:dyDescent="0.25">
      <c r="A73" s="2">
        <f>Results!$D$3</f>
        <v>24</v>
      </c>
      <c r="B73" s="2">
        <v>5</v>
      </c>
      <c r="C73" s="2">
        <v>3</v>
      </c>
      <c r="D73" s="62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>0.68133723744383257</v>
      </c>
      <c r="E73" s="62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>5.9576520240383922E-2</v>
      </c>
      <c r="F73" s="62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>8.8199430964736356E-2</v>
      </c>
      <c r="G73" s="69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>1.2176494897760416E-2</v>
      </c>
      <c r="H73" s="62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>4.8074048263913843E-2</v>
      </c>
      <c r="I73" s="62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>8.8722648377086405E-2</v>
      </c>
      <c r="J73" s="62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>3.6519063343555393E-3</v>
      </c>
      <c r="K73" s="62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>4.7899952625198906E-4</v>
      </c>
      <c r="L73" s="62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>0</v>
      </c>
      <c r="M73" s="62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>3.0754227378354701E-5</v>
      </c>
      <c r="N73" s="62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>1.1345885197408277E-2</v>
      </c>
      <c r="O73" s="62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>0</v>
      </c>
      <c r="P73" s="62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>6.4060745268924371E-3</v>
      </c>
      <c r="Q73" s="62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>0</v>
      </c>
      <c r="R73" s="62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>0</v>
      </c>
      <c r="S73" s="62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>0</v>
      </c>
      <c r="T73" s="62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>0</v>
      </c>
      <c r="U73" s="62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>0</v>
      </c>
      <c r="V73" s="62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>0</v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6.9969879922374828E-2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6.983911641431137E-2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6.8839116414311341E-2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6.6839116414311353E-2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1.2948712818676468E-2</v>
      </c>
      <c r="AB73" s="2">
        <f>SUMIFS(PERSALDATA!$G$2:$G$20871,PERSALDATA!$A$2:$A$20871,WORKING!A73,PERSALDATA!$D$2:$D$20871,WORKING!B73,PERSALDATA!$E$2:$E$20871,WORKING!C73,PERSALDATA!$F$2:$F$20871,"S&amp;W: BASIC SALARY (RES)")</f>
        <v>1030</v>
      </c>
      <c r="AC73" s="2">
        <f>SUMIFS(PERSALDATA!$H$2:$H$20871,PERSALDATA!$A$2:$A$20871,WORKING!A73,PERSALDATA!$D$2:$D$20871,WORKING!B73,PERSALDATA!$E$2:$E$20871,WORKING!C73)</f>
        <v>154014599.08999997</v>
      </c>
    </row>
    <row r="74" spans="1:29" x14ac:dyDescent="0.25">
      <c r="A74" s="2">
        <f>Results!$D$3</f>
        <v>24</v>
      </c>
      <c r="B74" s="2">
        <v>5</v>
      </c>
      <c r="C74" s="2">
        <v>4</v>
      </c>
      <c r="D74" s="62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>0.68549543020944026</v>
      </c>
      <c r="E74" s="62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>5.8563556647972068E-2</v>
      </c>
      <c r="F74" s="62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>6.8612320320505113E-2</v>
      </c>
      <c r="G74" s="69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>1.7073224492004199E-2</v>
      </c>
      <c r="H74" s="62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>5.140389274757317E-2</v>
      </c>
      <c r="I74" s="62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>8.9167759017843157E-2</v>
      </c>
      <c r="J74" s="62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>6.1162726864033888E-3</v>
      </c>
      <c r="K74" s="62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>3.8486194714774501E-4</v>
      </c>
      <c r="L74" s="62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>7.3819273605134187E-4</v>
      </c>
      <c r="M74" s="62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>6.5747117577299867E-6</v>
      </c>
      <c r="N74" s="62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>1.5391284378685604E-2</v>
      </c>
      <c r="O74" s="62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>0</v>
      </c>
      <c r="P74" s="62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>7.0466301046162453E-3</v>
      </c>
      <c r="Q74" s="62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>0</v>
      </c>
      <c r="R74" s="62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>0</v>
      </c>
      <c r="S74" s="62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>0</v>
      </c>
      <c r="T74" s="62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>0</v>
      </c>
      <c r="U74" s="62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>0</v>
      </c>
      <c r="V74" s="62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>0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7.1505118154107636E-2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7.0084935188008568E-2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6.9084935188008539E-2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6.7084935188008565E-2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1.319398387477161E-2</v>
      </c>
      <c r="AB74" s="2">
        <f>SUMIFS(PERSALDATA!$G$2:$G$20871,PERSALDATA!$A$2:$A$20871,WORKING!A74,PERSALDATA!$D$2:$D$20871,WORKING!B74,PERSALDATA!$E$2:$E$20871,WORKING!C74,PERSALDATA!$F$2:$F$20871,"S&amp;W: BASIC SALARY (RES)")</f>
        <v>245</v>
      </c>
      <c r="AC74" s="2">
        <f>SUMIFS(PERSALDATA!$H$2:$H$20871,PERSALDATA!$A$2:$A$20871,WORKING!A74,PERSALDATA!$D$2:$D$20871,WORKING!B74,PERSALDATA!$E$2:$E$20871,WORKING!C74)</f>
        <v>45232401.200000003</v>
      </c>
    </row>
    <row r="75" spans="1:29" x14ac:dyDescent="0.25">
      <c r="A75" s="2">
        <f>Results!$D$3</f>
        <v>24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0.68709497341929793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5.7608432253048333E-2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6.1004618098189918E-2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1.8348030952758481E-2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6.6440059855005645E-2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8.9326254211895328E-2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9.8173785715444575E-3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3.4879987841361643E-4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1.2823062798922081E-3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0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4.8214056908063964E-3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3.9077407891474659E-3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7.2293809862507621E-2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7.0386554716843158E-2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6.9386554716843171E-2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6.7386554716843169E-2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1.3083097832525859E-2</v>
      </c>
      <c r="AB75" s="2">
        <f>SUMIFS(PERSALDATA!$G$2:$G$20871,PERSALDATA!$A$2:$A$20871,WORKING!A75,PERSALDATA!$D$2:$D$20871,WORKING!B75,PERSALDATA!$E$2:$E$20871,WORKING!C75,PERSALDATA!$F$2:$F$20871,"S&amp;W: BASIC SALARY (RES)")</f>
        <v>145</v>
      </c>
      <c r="AC75" s="2">
        <f>SUMIFS(PERSALDATA!$H$2:$H$20871,PERSALDATA!$A$2:$A$20871,WORKING!A75,PERSALDATA!$D$2:$D$20871,WORKING!B75,PERSALDATA!$E$2:$E$20871,WORKING!C75)</f>
        <v>29835446.180000011</v>
      </c>
    </row>
    <row r="76" spans="1:29" x14ac:dyDescent="0.25">
      <c r="A76" s="2">
        <f>Results!$D$3</f>
        <v>24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0.71560483381712725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6.3422431083899972E-2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5.0958856914607394E-2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1.4095451060820007E-3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4.9577583384698296E-2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9.309211363388549E-2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1.4152222750024101E-2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2.8222302977915219E-4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4.0147512924137525E-3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0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3.7015331538312276E-3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3.7839058336512944E-3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7.2821213041875582E-2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7.0234075181624403E-2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6.9234075181624388E-2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6.72340751816244E-2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1.3487720050063727E-2</v>
      </c>
      <c r="AB76" s="2">
        <f>SUMIFS(PERSALDATA!$G$2:$G$20871,PERSALDATA!$A$2:$A$20871,WORKING!A76,PERSALDATA!$D$2:$D$20871,WORKING!B76,PERSALDATA!$E$2:$E$20871,WORKING!C76,PERSALDATA!$F$2:$F$20871,"S&amp;W: BASIC SALARY (RES)")</f>
        <v>62</v>
      </c>
      <c r="AC76" s="2">
        <f>SUMIFS(PERSALDATA!$H$2:$H$20871,PERSALDATA!$A$2:$A$20871,WORKING!A76,PERSALDATA!$D$2:$D$20871,WORKING!B76,PERSALDATA!$E$2:$E$20871,WORKING!C76)</f>
        <v>18509049.400000002</v>
      </c>
    </row>
    <row r="77" spans="1:29" x14ac:dyDescent="0.25">
      <c r="A77" s="2">
        <f>Results!$D$3</f>
        <v>24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0.70878813011686381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5.9514207417977534E-2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4.2944850357296907E-2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9.36750852695537E-3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4.9440510818519252E-2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9.2178824747361415E-2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2.0796388328733061E-2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2.4128156053609203E-4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6.5143687474653799E-3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0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6.2063791092037959E-3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4.0075502690874081E-3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7.3428358524304696E-2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7.0312159158704826E-2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6.9312159158704839E-2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6.7312159158704823E-2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1.3610600358954717E-2</v>
      </c>
      <c r="AB77" s="2">
        <f>SUMIFS(PERSALDATA!$G$2:$G$20871,PERSALDATA!$A$2:$A$20871,WORKING!A77,PERSALDATA!$D$2:$D$20871,WORKING!B77,PERSALDATA!$E$2:$E$20871,WORKING!C77,PERSALDATA!$F$2:$F$20871,"S&amp;W: BASIC SALARY (RES)")</f>
        <v>83</v>
      </c>
      <c r="AC77" s="2">
        <f>SUMIFS(PERSALDATA!$H$2:$H$20871,PERSALDATA!$A$2:$A$20871,WORKING!A77,PERSALDATA!$D$2:$D$20871,WORKING!B77,PERSALDATA!$E$2:$E$20871,WORKING!C77)</f>
        <v>24380105.91</v>
      </c>
    </row>
    <row r="78" spans="1:29" x14ac:dyDescent="0.25">
      <c r="A78" s="2">
        <f>Results!$D$3</f>
        <v>24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0.73106208138483686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5.8742695460070098E-2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3.380213735470361E-2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7.0892867760109241E-3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3.4009198907858237E-2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9.5040146635867365E-2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1.8512353090062664E-2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1.9663538825729057E-4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1.9506824142765108E-2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1.533443089891427E-3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5.0519776967662146E-4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7.3907166345752548E-2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7.0172116610070834E-2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6.9172116610070861E-2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6.7172116610070859E-2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1.3979880425237717E-2</v>
      </c>
      <c r="AB78" s="2">
        <f>SUMIFS(PERSALDATA!$G$2:$G$20871,PERSALDATA!$A$2:$A$20871,WORKING!A78,PERSALDATA!$D$2:$D$20871,WORKING!B78,PERSALDATA!$E$2:$E$20871,WORKING!C78,PERSALDATA!$F$2:$F$20871,"S&amp;W: BASIC SALARY (RES)")</f>
        <v>109</v>
      </c>
      <c r="AC78" s="2">
        <f>SUMIFS(PERSALDATA!$H$2:$H$20871,PERSALDATA!$A$2:$A$20871,WORKING!A78,PERSALDATA!$D$2:$D$20871,WORKING!B78,PERSALDATA!$E$2:$E$20871,WORKING!C78)</f>
        <v>35163456.899999991</v>
      </c>
    </row>
    <row r="79" spans="1:29" x14ac:dyDescent="0.25">
      <c r="A79" s="2">
        <f>Results!$D$3</f>
        <v>24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0.72635185852469375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6.2393987780100219E-2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2.6313038927504289E-2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3.7293738435351101E-3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3.5721118541101438E-2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9.4436625101887509E-2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1.0222551087964245E-2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1.6081344870926096E-4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3.4816186936821376E-2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5.2220525682413451E-3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6.3239323944136168E-4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7.4500304701085082E-2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7.0272686388841474E-2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6.9272686388841487E-2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6.7272686388841485E-2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1.4067075436240273E-2</v>
      </c>
      <c r="AB79" s="2">
        <f>SUMIFS(PERSALDATA!$G$2:$G$20871,PERSALDATA!$A$2:$A$20871,WORKING!A79,PERSALDATA!$D$2:$D$20871,WORKING!B79,PERSALDATA!$E$2:$E$20871,WORKING!C79,PERSALDATA!$F$2:$F$20871,"S&amp;W: BASIC SALARY (RES)")</f>
        <v>146</v>
      </c>
      <c r="AC79" s="2">
        <f>SUMIFS(PERSALDATA!$H$2:$H$20871,PERSALDATA!$A$2:$A$20871,WORKING!A79,PERSALDATA!$D$2:$D$20871,WORKING!B79,PERSALDATA!$E$2:$E$20871,WORKING!C79)</f>
        <v>65545450.860000022</v>
      </c>
    </row>
    <row r="80" spans="1:29" x14ac:dyDescent="0.25">
      <c r="A80" s="2">
        <f>Results!$D$3</f>
        <v>24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0.72993154953911576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6.1556834498962008E-2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2.2592596848668524E-2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1.1384326289998476E-3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3.1994365289530535E-2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9.4905234824363499E-2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1.4683256769263648E-2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1.3693126891992509E-4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2.8072602398593379E-2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1.0768112278913219E-2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4.2200836546696313E-3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0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7.4730883753554619E-2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7.0253989510856277E-2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6.9253989510856262E-2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6.7253989510856274E-2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1.4179141598893216E-2</v>
      </c>
      <c r="AB80" s="2">
        <f>SUMIFS(PERSALDATA!$G$2:$G$20871,PERSALDATA!$A$2:$A$20871,WORKING!A80,PERSALDATA!$D$2:$D$20871,WORKING!B80,PERSALDATA!$E$2:$E$20871,WORKING!C80,PERSALDATA!$F$2:$F$20871,"S&amp;W: BASIC SALARY (RES)")</f>
        <v>67</v>
      </c>
      <c r="AC80" s="2">
        <f>SUMIFS(PERSALDATA!$H$2:$H$20871,PERSALDATA!$A$2:$A$20871,WORKING!A80,PERSALDATA!$D$2:$D$20871,WORKING!B80,PERSALDATA!$E$2:$E$20871,WORKING!C80)</f>
        <v>32187534.919999998</v>
      </c>
    </row>
    <row r="81" spans="1:29" x14ac:dyDescent="0.25">
      <c r="A81" s="2">
        <f>Results!$D$3</f>
        <v>24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0.71784260277792133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5.174957544940624E-2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7.2926106791581687E-3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2.7644442558498044E-4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2.4968446604413802E-2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8.9167983688739613E-2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1.8790577526454709E-2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1.125000025851576E-4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3.3875282489692301E-3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8.3593541022050022E-2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0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2.8181895747166836E-3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1.4514396640707644E-2</v>
      </c>
      <c r="AB81" s="2">
        <f>SUMIFS(PERSALDATA!$G$2:$G$20871,PERSALDATA!$A$2:$A$20871,WORKING!A81,PERSALDATA!$D$2:$D$20871,WORKING!B81,PERSALDATA!$E$2:$E$20871,WORKING!C81,PERSALDATA!$F$2:$F$20871,"S&amp;W: BASIC SALARY (RES)")</f>
        <v>17</v>
      </c>
      <c r="AC81" s="2">
        <f>SUMIFS(PERSALDATA!$H$2:$H$20871,PERSALDATA!$A$2:$A$20871,WORKING!A81,PERSALDATA!$D$2:$D$20871,WORKING!B81,PERSALDATA!$E$2:$E$20871,WORKING!C81)</f>
        <v>11556355.290000001</v>
      </c>
    </row>
    <row r="82" spans="1:29" x14ac:dyDescent="0.25">
      <c r="A82" s="2">
        <f>Results!$D$3</f>
        <v>24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0.72123684055721493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5.3223619296500775E-2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8.8646281237373774E-3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0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2.1353700267271104E-2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9.3760513625165964E-2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1.945798669655812E-2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9.5438799366884619E-5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1.5846023294764163E-3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7.0240142257863777E-2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8.9833465535798084E-3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1.1991814932649648E-3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1.4545293492144371E-2</v>
      </c>
      <c r="AB82" s="2">
        <f>SUMIFS(PERSALDATA!$G$2:$G$20871,PERSALDATA!$A$2:$A$20871,WORKING!A82,PERSALDATA!$D$2:$D$20871,WORKING!B82,PERSALDATA!$E$2:$E$20871,WORKING!C82,PERSALDATA!$F$2:$F$20871,"S&amp;W: BASIC SALARY (RES)")</f>
        <v>34</v>
      </c>
      <c r="AC82" s="2">
        <f>SUMIFS(PERSALDATA!$H$2:$H$20871,PERSALDATA!$A$2:$A$20871,WORKING!A82,PERSALDATA!$D$2:$D$20871,WORKING!B82,PERSALDATA!$E$2:$E$20871,WORKING!C82)</f>
        <v>26022749.829999994</v>
      </c>
    </row>
    <row r="83" spans="1:29" x14ac:dyDescent="0.25">
      <c r="A83" s="2">
        <f>Results!$D$3</f>
        <v>24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0.63664446048479384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5.3887351424521113E-2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3.1982035316094316E-2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2.5455518369842823E-2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8.2766509046078143E-2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2.0864224887522771E-2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7.3087963497207501E-5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0.13236240218567399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1.1967138081652498E-2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3.9972722403232609E-3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1.4137340375258484E-2</v>
      </c>
      <c r="AB83" s="2">
        <f>SUMIFS(PERSALDATA!$G$2:$G$20871,PERSALDATA!$A$2:$A$20871,WORKING!A83,PERSALDATA!$D$2:$D$20871,WORKING!B83,PERSALDATA!$E$2:$E$20871,WORKING!C83,PERSALDATA!$F$2:$F$20871,"S&amp;W: BASIC SALARY (RES)")</f>
        <v>11</v>
      </c>
      <c r="AC83" s="2">
        <f>SUMIFS(PERSALDATA!$H$2:$H$20871,PERSALDATA!$A$2:$A$20871,WORKING!A83,PERSALDATA!$D$2:$D$20871,WORKING!B83,PERSALDATA!$E$2:$E$20871,WORKING!C83)</f>
        <v>10369696.51</v>
      </c>
    </row>
    <row r="84" spans="1:29" x14ac:dyDescent="0.25">
      <c r="A84" s="2">
        <f>Results!$D$3</f>
        <v>24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0.57423566057093489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3.4870947951470763E-2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5.7995401878416585E-2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8.2696318013817747E-3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7.4650510556818164E-2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1.0843488858544326E-2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6.2696011589722167E-5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0.20119833548903776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3.7873326881806134E-2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1.4005084054629181E-2</v>
      </c>
      <c r="AB84" s="2">
        <f>SUMIFS(PERSALDATA!$G$2:$G$20871,PERSALDATA!$A$2:$A$20871,WORKING!A84,PERSALDATA!$D$2:$D$20871,WORKING!B84,PERSALDATA!$E$2:$E$20871,WORKING!C84,PERSALDATA!$F$2:$F$20871,"S&amp;W: BASIC SALARY (RES)")</f>
        <v>3</v>
      </c>
      <c r="AC84" s="2">
        <f>SUMIFS(PERSALDATA!$H$2:$H$20871,PERSALDATA!$A$2:$A$20871,WORKING!A84,PERSALDATA!$D$2:$D$20871,WORKING!B84,PERSALDATA!$E$2:$E$20871,WORKING!C84)</f>
        <v>4556430.1899999995</v>
      </c>
    </row>
    <row r="85" spans="1:29" x14ac:dyDescent="0.25">
      <c r="A85" s="2">
        <f>Results!$D$3</f>
        <v>24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0.6883508878211303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0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0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0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8.9485406072144988E-2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4.9430299420049931E-5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0.22211427580730458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1.4999258545508697E-2</v>
      </c>
      <c r="AB85" s="2">
        <f>SUMIFS(PERSALDATA!$G$2:$G$20871,PERSALDATA!$A$2:$A$20871,WORKING!A85,PERSALDATA!$D$2:$D$20871,WORKING!B85,PERSALDATA!$E$2:$E$20871,WORKING!C85,PERSALDATA!$F$2:$F$20871,"S&amp;W: BASIC SALARY (RES)")</f>
        <v>2</v>
      </c>
      <c r="AC85" s="2">
        <f>SUMIFS(PERSALDATA!$H$2:$H$20871,PERSALDATA!$A$2:$A$20871,WORKING!A85,PERSALDATA!$D$2:$D$20871,WORKING!B85,PERSALDATA!$E$2:$E$20871,WORKING!C85)</f>
        <v>1297382.3900000001</v>
      </c>
    </row>
    <row r="86" spans="1:29" x14ac:dyDescent="0.25">
      <c r="A86" s="2">
        <f>Results!$D$3</f>
        <v>24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24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24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24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24</v>
      </c>
      <c r="B90" s="2">
        <v>6</v>
      </c>
      <c r="C90" s="2">
        <v>3</v>
      </c>
      <c r="D90" s="62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>0</v>
      </c>
      <c r="E90" s="62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>0</v>
      </c>
      <c r="F90" s="62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>0</v>
      </c>
      <c r="G90" s="69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>1</v>
      </c>
      <c r="H90" s="62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>0</v>
      </c>
      <c r="I90" s="62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>0</v>
      </c>
      <c r="J90" s="62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>0</v>
      </c>
      <c r="K90" s="62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>0</v>
      </c>
      <c r="L90" s="62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>0</v>
      </c>
      <c r="M90" s="62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>0</v>
      </c>
      <c r="N90" s="62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>0</v>
      </c>
      <c r="O90" s="62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>0</v>
      </c>
      <c r="P90" s="62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>0</v>
      </c>
      <c r="Q90" s="62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>0</v>
      </c>
      <c r="R90" s="62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>0</v>
      </c>
      <c r="S90" s="62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>0</v>
      </c>
      <c r="T90" s="62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>0</v>
      </c>
      <c r="U90" s="62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>0</v>
      </c>
      <c r="V90" s="62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>0</v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7.5999999999999998E-2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7.0000000000000007E-2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6.9000000000000006E-2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6.7000000000000004E-2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1.4999999999999999E-2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26928.9</v>
      </c>
    </row>
    <row r="91" spans="1:29" x14ac:dyDescent="0.25">
      <c r="A91" s="2">
        <f>Results!$D$3</f>
        <v>24</v>
      </c>
      <c r="B91" s="2">
        <v>6</v>
      </c>
      <c r="C91" s="2">
        <v>4</v>
      </c>
      <c r="D91" s="62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>0.61770858049195576</v>
      </c>
      <c r="E91" s="62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>3.9664535730672523E-2</v>
      </c>
      <c r="F91" s="62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>6.0293703773301378E-2</v>
      </c>
      <c r="G91" s="69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>0.12350726809499077</v>
      </c>
      <c r="H91" s="62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>2.4365946411725226E-2</v>
      </c>
      <c r="I91" s="62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>8.0492663030404601E-2</v>
      </c>
      <c r="J91" s="62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>6.4660332309801729E-3</v>
      </c>
      <c r="K91" s="62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>3.8602015537256084E-4</v>
      </c>
      <c r="L91" s="62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>0</v>
      </c>
      <c r="M91" s="62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>2.9361997073805771E-4</v>
      </c>
      <c r="N91" s="62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>4.6821629109859042E-2</v>
      </c>
      <c r="O91" s="62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>0</v>
      </c>
      <c r="P91" s="62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>0</v>
      </c>
      <c r="Q91" s="62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>0</v>
      </c>
      <c r="R91" s="62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>0</v>
      </c>
      <c r="S91" s="62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>0</v>
      </c>
      <c r="T91" s="62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>0</v>
      </c>
      <c r="U91" s="62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>0</v>
      </c>
      <c r="V91" s="62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>0</v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7.1758801762993263E-2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6.9762552158442875E-2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6.8762552158442888E-2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6.6762552158442873E-2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1.3724314944894013E-2</v>
      </c>
      <c r="AB91" s="2">
        <f>SUMIFS(PERSALDATA!$G$2:$G$20871,PERSALDATA!$A$2:$A$20871,WORKING!A91,PERSALDATA!$D$2:$D$20871,WORKING!B91,PERSALDATA!$E$2:$E$20871,WORKING!C91,PERSALDATA!$F$2:$F$20871,"S&amp;W: BASIC SALARY (RES)")</f>
        <v>15</v>
      </c>
      <c r="AC91" s="2">
        <f>SUMIFS(PERSALDATA!$H$2:$H$20871,PERSALDATA!$A$2:$A$20871,WORKING!A91,PERSALDATA!$D$2:$D$20871,WORKING!B91,PERSALDATA!$E$2:$E$20871,WORKING!C91)</f>
        <v>2990361.9899999998</v>
      </c>
    </row>
    <row r="92" spans="1:29" x14ac:dyDescent="0.25">
      <c r="A92" s="2">
        <f>Results!$D$3</f>
        <v>24</v>
      </c>
      <c r="B92" s="2">
        <v>6</v>
      </c>
      <c r="C92" s="2">
        <v>5</v>
      </c>
      <c r="D92" s="62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>0.60316891674482098</v>
      </c>
      <c r="E92" s="62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>3.8423812012482926E-2</v>
      </c>
      <c r="F92" s="62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>2.0948114598300982E-2</v>
      </c>
      <c r="G92" s="69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>0.15484091601855501</v>
      </c>
      <c r="H92" s="62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>2.3943262173572934E-2</v>
      </c>
      <c r="I92" s="62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>4.0003970423695176E-2</v>
      </c>
      <c r="J92" s="62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>4.1746510770944026E-3</v>
      </c>
      <c r="K92" s="62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>3.0947809632994084E-4</v>
      </c>
      <c r="L92" s="62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>0</v>
      </c>
      <c r="M92" s="62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>0.11027186321163242</v>
      </c>
      <c r="N92" s="62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>1.8647549948970106E-3</v>
      </c>
      <c r="O92" s="62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>0</v>
      </c>
      <c r="P92" s="62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>2.0502606486182849E-3</v>
      </c>
      <c r="Q92" s="62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>0</v>
      </c>
      <c r="R92" s="62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>0</v>
      </c>
      <c r="S92" s="62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>0</v>
      </c>
      <c r="T92" s="62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>0</v>
      </c>
      <c r="U92" s="62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>0</v>
      </c>
      <c r="V92" s="62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>0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7.4743148960959141E-2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7.0149667786620587E-2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6.91496677866206E-2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6.7149667786620598E-2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1.432198717697694E-2</v>
      </c>
      <c r="AB92" s="2">
        <f>SUMIFS(PERSALDATA!$G$2:$G$20871,PERSALDATA!$A$2:$A$20871,WORKING!A92,PERSALDATA!$D$2:$D$20871,WORKING!B92,PERSALDATA!$E$2:$E$20871,WORKING!C92,PERSALDATA!$F$2:$F$20871,"S&amp;W: BASIC SALARY (RES)")</f>
        <v>33</v>
      </c>
      <c r="AC92" s="2">
        <f>SUMIFS(PERSALDATA!$H$2:$H$20871,PERSALDATA!$A$2:$A$20871,WORKING!A92,PERSALDATA!$D$2:$D$20871,WORKING!B92,PERSALDATA!$E$2:$E$20871,WORKING!C92)</f>
        <v>8664264.2299999986</v>
      </c>
    </row>
    <row r="93" spans="1:29" x14ac:dyDescent="0.25">
      <c r="A93" s="2">
        <f>Results!$D$3</f>
        <v>24</v>
      </c>
      <c r="B93" s="2">
        <v>6</v>
      </c>
      <c r="C93" s="2">
        <v>6</v>
      </c>
      <c r="D93" s="62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>0.6115291237046987</v>
      </c>
      <c r="E93" s="62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>4.8555285093972014E-2</v>
      </c>
      <c r="F93" s="62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>3.4457719927525561E-2</v>
      </c>
      <c r="G93" s="69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>0.12789328677995646</v>
      </c>
      <c r="H93" s="62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>4.9216738796953159E-2</v>
      </c>
      <c r="I93" s="62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>7.9378046694380269E-2</v>
      </c>
      <c r="J93" s="62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>2.0966583187999984E-2</v>
      </c>
      <c r="K93" s="62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>2.5861870750357668E-4</v>
      </c>
      <c r="L93" s="62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>0</v>
      </c>
      <c r="M93" s="62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>9.1373514135168821E-4</v>
      </c>
      <c r="N93" s="62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>2.5632040142902695E-2</v>
      </c>
      <c r="O93" s="62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>0</v>
      </c>
      <c r="P93" s="62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>1.1988218227559863E-3</v>
      </c>
      <c r="Q93" s="62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>0</v>
      </c>
      <c r="R93" s="62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>0</v>
      </c>
      <c r="S93" s="62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>0</v>
      </c>
      <c r="T93" s="62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>0</v>
      </c>
      <c r="U93" s="62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>0</v>
      </c>
      <c r="V93" s="62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>0</v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7.4070247628665417E-2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7.0393673882679045E-2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6.9393673882679058E-2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6.7393673882679028E-2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1.3741003838520269E-2</v>
      </c>
      <c r="AB93" s="2">
        <f>SUMIFS(PERSALDATA!$G$2:$G$20871,PERSALDATA!$A$2:$A$20871,WORKING!A93,PERSALDATA!$D$2:$D$20871,WORKING!B93,PERSALDATA!$E$2:$E$20871,WORKING!C93,PERSALDATA!$F$2:$F$20871,"S&amp;W: BASIC SALARY (RES)")</f>
        <v>74</v>
      </c>
      <c r="AC93" s="2">
        <f>SUMIFS(PERSALDATA!$H$2:$H$20871,PERSALDATA!$A$2:$A$20871,WORKING!A93,PERSALDATA!$D$2:$D$20871,WORKING!B93,PERSALDATA!$E$2:$E$20871,WORKING!C93)</f>
        <v>22227239.689999998</v>
      </c>
    </row>
    <row r="94" spans="1:29" x14ac:dyDescent="0.25">
      <c r="A94" s="2">
        <f>Results!$D$3</f>
        <v>24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0.61776086004385589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5.0521899331979918E-2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2.8845350422070377E-2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0.13567374492144046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5.2723435350292162E-2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8.0047134811423448E-2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1.7055349516792346E-2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2.050799388348693E-4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4.6304804955591555E-4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8.6975817124004828E-4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1.5089796570658679E-2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7.4454287185582425E-4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0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0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7.454588146282673E-2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7.0502398026033683E-2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6.9502398026033682E-2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6.750239802603368E-2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1.3773392014332038E-2</v>
      </c>
      <c r="AB94" s="2">
        <f>SUMIFS(PERSALDATA!$G$2:$G$20871,PERSALDATA!$A$2:$A$20871,WORKING!A94,PERSALDATA!$D$2:$D$20871,WORKING!B94,PERSALDATA!$E$2:$E$20871,WORKING!C94,PERSALDATA!$F$2:$F$20871,"S&amp;W: BASIC SALARY (RES)")</f>
        <v>224</v>
      </c>
      <c r="AC94" s="2">
        <f>SUMIFS(PERSALDATA!$H$2:$H$20871,PERSALDATA!$A$2:$A$20871,WORKING!A94,PERSALDATA!$D$2:$D$20871,WORKING!B94,PERSALDATA!$E$2:$E$20871,WORKING!C94)</f>
        <v>67601882.850000009</v>
      </c>
    </row>
    <row r="95" spans="1:29" x14ac:dyDescent="0.25">
      <c r="A95" s="2">
        <f>Results!$D$3</f>
        <v>24</v>
      </c>
      <c r="B95" s="2">
        <v>6</v>
      </c>
      <c r="C95" s="2">
        <v>8</v>
      </c>
      <c r="D95" s="62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>0.64724601218480116</v>
      </c>
      <c r="E95" s="62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>5.4517763083294597E-2</v>
      </c>
      <c r="F95" s="62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>2.1775182716804588E-2</v>
      </c>
      <c r="G95" s="69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>0.10854227179852957</v>
      </c>
      <c r="H95" s="62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>3.9373291209468128E-2</v>
      </c>
      <c r="I95" s="62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>8.3780912083438144E-2</v>
      </c>
      <c r="J95" s="62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>2.4393732101643549E-2</v>
      </c>
      <c r="K95" s="62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>1.7010633110083376E-4</v>
      </c>
      <c r="L95" s="62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>4.5936908764684778E-3</v>
      </c>
      <c r="M95" s="62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>1.3937573929548325E-3</v>
      </c>
      <c r="N95" s="62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>1.3539270209679972E-2</v>
      </c>
      <c r="O95" s="62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>0</v>
      </c>
      <c r="P95" s="62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>6.7401001181619912E-4</v>
      </c>
      <c r="Q95" s="62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>0</v>
      </c>
      <c r="R95" s="62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>0</v>
      </c>
      <c r="S95" s="62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>0</v>
      </c>
      <c r="T95" s="62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>0</v>
      </c>
      <c r="U95" s="62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>0</v>
      </c>
      <c r="V95" s="62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>0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7.4896312190455394E-2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7.037284754097399E-2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6.9372847540973989E-2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6.7372847540973987E-2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1.4080221296139396E-2</v>
      </c>
      <c r="AB95" s="2">
        <f>SUMIFS(PERSALDATA!$G$2:$G$20871,PERSALDATA!$A$2:$A$20871,WORKING!A95,PERSALDATA!$D$2:$D$20871,WORKING!B95,PERSALDATA!$E$2:$E$20871,WORKING!C95,PERSALDATA!$F$2:$F$20871,"S&amp;W: BASIC SALARY (RES)")</f>
        <v>62</v>
      </c>
      <c r="AC95" s="2">
        <f>SUMIFS(PERSALDATA!$H$2:$H$20871,PERSALDATA!$A$2:$A$20871,WORKING!A95,PERSALDATA!$D$2:$D$20871,WORKING!B95,PERSALDATA!$E$2:$E$20871,WORKING!C95)</f>
        <v>26355691.59</v>
      </c>
    </row>
    <row r="96" spans="1:29" x14ac:dyDescent="0.25">
      <c r="A96" s="2">
        <f>Results!$D$3</f>
        <v>24</v>
      </c>
      <c r="B96" s="2">
        <v>6</v>
      </c>
      <c r="C96" s="2">
        <v>9</v>
      </c>
      <c r="D96" s="62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>0.70455016451600894</v>
      </c>
      <c r="E96" s="62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>5.8403864651372081E-2</v>
      </c>
      <c r="F96" s="62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>2.0465219112055798E-2</v>
      </c>
      <c r="G96" s="69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>6.2000337251080118E-2</v>
      </c>
      <c r="H96" s="62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>2.2972473154934121E-2</v>
      </c>
      <c r="I96" s="62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>9.2015925395203868E-2</v>
      </c>
      <c r="J96" s="62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>2.9469434520645075E-2</v>
      </c>
      <c r="K96" s="62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>1.5783327558652524E-4</v>
      </c>
      <c r="L96" s="62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>7.9009827900394462E-3</v>
      </c>
      <c r="M96" s="62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>0</v>
      </c>
      <c r="N96" s="62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>2.0637653330738311E-3</v>
      </c>
      <c r="O96" s="62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>0</v>
      </c>
      <c r="P96" s="62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>0</v>
      </c>
      <c r="Q96" s="62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>0</v>
      </c>
      <c r="R96" s="62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>0</v>
      </c>
      <c r="S96" s="62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>0</v>
      </c>
      <c r="T96" s="62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>0</v>
      </c>
      <c r="U96" s="62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>0</v>
      </c>
      <c r="V96" s="62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>0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7.476625797165283E-2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7.0139934906203433E-2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6.9139934906203446E-2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6.7139934906203444E-2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1.4346067116861349E-2</v>
      </c>
      <c r="AB96" s="2">
        <f>SUMIFS(PERSALDATA!$G$2:$G$20871,PERSALDATA!$A$2:$A$20871,WORKING!A96,PERSALDATA!$D$2:$D$20871,WORKING!B96,PERSALDATA!$E$2:$E$20871,WORKING!C96,PERSALDATA!$F$2:$F$20871,"S&amp;W: BASIC SALARY (RES)")</f>
        <v>18</v>
      </c>
      <c r="AC96" s="2">
        <f>SUMIFS(PERSALDATA!$H$2:$H$20871,PERSALDATA!$A$2:$A$20871,WORKING!A96,PERSALDATA!$D$2:$D$20871,WORKING!B96,PERSALDATA!$E$2:$E$20871,WORKING!C96)</f>
        <v>6611216.7800000003</v>
      </c>
    </row>
    <row r="97" spans="1:29" x14ac:dyDescent="0.25">
      <c r="A97" s="2">
        <f>Results!$D$3</f>
        <v>24</v>
      </c>
      <c r="B97" s="2">
        <v>6</v>
      </c>
      <c r="C97" s="2">
        <v>10</v>
      </c>
      <c r="D97" s="62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>0.67979147267464513</v>
      </c>
      <c r="E97" s="62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>5.5573026612306307E-2</v>
      </c>
      <c r="F97" s="62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>1.6762198440250353E-2</v>
      </c>
      <c r="G97" s="69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>5.0861529420630588E-2</v>
      </c>
      <c r="H97" s="62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>2.3884953668150483E-2</v>
      </c>
      <c r="I97" s="62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>8.8372525639781596E-2</v>
      </c>
      <c r="J97" s="62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>3.0608049492408678E-2</v>
      </c>
      <c r="K97" s="62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>1.2460095630328777E-4</v>
      </c>
      <c r="L97" s="62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>2.6175480390598672E-3</v>
      </c>
      <c r="M97" s="62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>4.50645397846407E-2</v>
      </c>
      <c r="N97" s="62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>5.138058772210059E-3</v>
      </c>
      <c r="O97" s="62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>0</v>
      </c>
      <c r="P97" s="62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>1.2014964996129934E-3</v>
      </c>
      <c r="Q97" s="62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>0</v>
      </c>
      <c r="R97" s="62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>0</v>
      </c>
      <c r="S97" s="62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>0</v>
      </c>
      <c r="T97" s="62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>0</v>
      </c>
      <c r="U97" s="62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>0</v>
      </c>
      <c r="V97" s="62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>0</v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7.5060462269895087E-2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7.0190652320619759E-2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6.9190652320619772E-2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6.7190652320619743E-2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1.4388423704029438E-2</v>
      </c>
      <c r="AB97" s="2">
        <f>SUMIFS(PERSALDATA!$G$2:$G$20871,PERSALDATA!$A$2:$A$20871,WORKING!A97,PERSALDATA!$D$2:$D$20871,WORKING!B97,PERSALDATA!$E$2:$E$20871,WORKING!C97,PERSALDATA!$F$2:$F$20871,"S&amp;W: BASIC SALARY (RES)")</f>
        <v>40</v>
      </c>
      <c r="AC97" s="2">
        <f>SUMIFS(PERSALDATA!$H$2:$H$20871,PERSALDATA!$A$2:$A$20871,WORKING!A97,PERSALDATA!$D$2:$D$20871,WORKING!B97,PERSALDATA!$E$2:$E$20871,WORKING!C97)</f>
        <v>22177759.16</v>
      </c>
    </row>
    <row r="98" spans="1:29" x14ac:dyDescent="0.25">
      <c r="A98" s="2">
        <f>Results!$D$3</f>
        <v>24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0.69326473808900091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4.2921843280320587E-2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3.585250969255026E-3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6.1150321727768174E-4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1.9897942024969358E-2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8.2375628105841675E-2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3.8514007191904995E-2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1.1066273804037809E-4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2.3659703837461432E-3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0.11052237596706777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5.8300780325755966E-3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0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0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0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0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0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0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1.4646092164016029E-2</v>
      </c>
      <c r="AB98" s="2">
        <f>SUMIFS(PERSALDATA!$G$2:$G$20871,PERSALDATA!$A$2:$A$20871,WORKING!A98,PERSALDATA!$D$2:$D$20871,WORKING!B98,PERSALDATA!$E$2:$E$20871,WORKING!C98,PERSALDATA!$F$2:$F$20871,"S&amp;W: BASIC SALARY (RES)")</f>
        <v>16</v>
      </c>
      <c r="AC98" s="2">
        <f>SUMIFS(PERSALDATA!$H$2:$H$20871,PERSALDATA!$A$2:$A$20871,WORKING!A98,PERSALDATA!$D$2:$D$20871,WORKING!B98,PERSALDATA!$E$2:$E$20871,WORKING!C98)</f>
        <v>9957461.9199999962</v>
      </c>
    </row>
    <row r="99" spans="1:29" x14ac:dyDescent="0.25">
      <c r="A99" s="2">
        <f>Results!$D$3</f>
        <v>24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0.65436280710927985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5.4049431181562968E-2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9.3340965082610167E-3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2.6348950386992732E-2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2.3010125032301258E-2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8.5066920843450466E-2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4.8718783810838974E-2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8.7653483528153561E-5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0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9.2104815452185462E-2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6.9164161915992086E-3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0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0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0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0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0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1.4513521874638644E-2</v>
      </c>
      <c r="AB99" s="2">
        <f>SUMIFS(PERSALDATA!$G$2:$G$20871,PERSALDATA!$A$2:$A$20871,WORKING!A99,PERSALDATA!$D$2:$D$20871,WORKING!B99,PERSALDATA!$E$2:$E$20871,WORKING!C99,PERSALDATA!$F$2:$F$20871,"S&amp;W: BASIC SALARY (RES)")</f>
        <v>17</v>
      </c>
      <c r="AC99" s="2">
        <f>SUMIFS(PERSALDATA!$H$2:$H$20871,PERSALDATA!$A$2:$A$20871,WORKING!A99,PERSALDATA!$D$2:$D$20871,WORKING!B99,PERSALDATA!$E$2:$E$20871,WORKING!C99)</f>
        <v>13702022.459999997</v>
      </c>
    </row>
    <row r="100" spans="1:29" x14ac:dyDescent="0.25">
      <c r="A100" s="2">
        <f>Results!$D$3</f>
        <v>24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0.64267694998584601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2.8901251212099074E-2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7.0491560583854224E-3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4.0663813139085684E-3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1.7500123795499582E-2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8.3547813828803788E-2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2.062598385200989E-2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7.2503306034306695E-5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0.17464851812638815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2.0911318521025159E-2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0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0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1.4630673252601209E-2</v>
      </c>
      <c r="AB100" s="2">
        <f>SUMIFS(PERSALDATA!$G$2:$G$20871,PERSALDATA!$A$2:$A$20871,WORKING!A100,PERSALDATA!$D$2:$D$20871,WORKING!B100,PERSALDATA!$E$2:$E$20871,WORKING!C100,PERSALDATA!$F$2:$F$20871,"S&amp;W: BASIC SALARY (RES)")</f>
        <v>14</v>
      </c>
      <c r="AC100" s="2">
        <f>SUMIFS(PERSALDATA!$H$2:$H$20871,PERSALDATA!$A$2:$A$20871,WORKING!A100,PERSALDATA!$D$2:$D$20871,WORKING!B100,PERSALDATA!$E$2:$E$20871,WORKING!C100)</f>
        <v>15036693.630000001</v>
      </c>
    </row>
    <row r="101" spans="1:29" x14ac:dyDescent="0.25">
      <c r="A101" s="2">
        <f>Results!$D$3</f>
        <v>24</v>
      </c>
      <c r="B101" s="2">
        <v>6</v>
      </c>
      <c r="C101" s="2">
        <v>14</v>
      </c>
      <c r="D101" s="62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>0.62629039743304282</v>
      </c>
      <c r="E101" s="62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>4.6998287487503079E-2</v>
      </c>
      <c r="F101" s="62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>2.7120849127886568E-2</v>
      </c>
      <c r="G101" s="69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>9.5800925551489356E-3</v>
      </c>
      <c r="H101" s="62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>1.1089735252957995E-2</v>
      </c>
      <c r="I101" s="62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>8.1417596966117931E-2</v>
      </c>
      <c r="J101" s="62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>5.1349834784011394E-2</v>
      </c>
      <c r="K101" s="62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>5.8165518772851299E-5</v>
      </c>
      <c r="L101" s="62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>0</v>
      </c>
      <c r="M101" s="62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>0.13414983804556146</v>
      </c>
      <c r="N101" s="62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>1.1945202828996757E-2</v>
      </c>
      <c r="O101" s="62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>0</v>
      </c>
      <c r="P101" s="62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>0</v>
      </c>
      <c r="Q101" s="62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>0</v>
      </c>
      <c r="R101" s="62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>0</v>
      </c>
      <c r="S101" s="62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>0</v>
      </c>
      <c r="T101" s="62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>0</v>
      </c>
      <c r="U101" s="62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>0</v>
      </c>
      <c r="V101" s="62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>0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1.4425968751505737E-2</v>
      </c>
      <c r="AB101" s="2">
        <f>SUMIFS(PERSALDATA!$G$2:$G$20871,PERSALDATA!$A$2:$A$20871,WORKING!A101,PERSALDATA!$D$2:$D$20871,WORKING!B101,PERSALDATA!$E$2:$E$20871,WORKING!C101,PERSALDATA!$F$2:$F$20871,"S&amp;W: BASIC SALARY (RES)")</f>
        <v>11</v>
      </c>
      <c r="AC101" s="2">
        <f>SUMIFS(PERSALDATA!$H$2:$H$20871,PERSALDATA!$A$2:$A$20871,WORKING!A101,PERSALDATA!$D$2:$D$20871,WORKING!B101,PERSALDATA!$E$2:$E$20871,WORKING!C101)</f>
        <v>12127975.73</v>
      </c>
    </row>
    <row r="102" spans="1:29" x14ac:dyDescent="0.25">
      <c r="A102" s="2">
        <f>Results!$D$3</f>
        <v>24</v>
      </c>
      <c r="B102" s="2">
        <v>6</v>
      </c>
      <c r="C102" s="2">
        <v>15</v>
      </c>
      <c r="D102" s="62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>0.67054210356140465</v>
      </c>
      <c r="E102" s="62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>3.9909029136819679E-2</v>
      </c>
      <c r="F102" s="62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>6.0717731684628044E-3</v>
      </c>
      <c r="G102" s="69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>2.3949311436151752E-3</v>
      </c>
      <c r="H102" s="62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>1.5614370240351999E-2</v>
      </c>
      <c r="I102" s="62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>8.7170306186812513E-2</v>
      </c>
      <c r="J102" s="62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>4.3001787691176518E-2</v>
      </c>
      <c r="K102" s="62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>4.7739491234853981E-5</v>
      </c>
      <c r="L102" s="62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>0</v>
      </c>
      <c r="M102" s="62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>0.13524795938012185</v>
      </c>
      <c r="N102" s="62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>0</v>
      </c>
      <c r="O102" s="62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>0</v>
      </c>
      <c r="P102" s="62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>0</v>
      </c>
      <c r="Q102" s="62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>0</v>
      </c>
      <c r="R102" s="62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>0</v>
      </c>
      <c r="S102" s="62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>0</v>
      </c>
      <c r="T102" s="62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>0</v>
      </c>
      <c r="U102" s="62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>0</v>
      </c>
      <c r="V102" s="62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>0</v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1.4673991756499256E-2</v>
      </c>
      <c r="AB102" s="2">
        <f>SUMIFS(PERSALDATA!$G$2:$G$20871,PERSALDATA!$A$2:$A$20871,WORKING!A102,PERSALDATA!$D$2:$D$20871,WORKING!B102,PERSALDATA!$E$2:$E$20871,WORKING!C102,PERSALDATA!$F$2:$F$20871,"S&amp;W: BASIC SALARY (RES)")</f>
        <v>2</v>
      </c>
      <c r="AC102" s="2">
        <f>SUMIFS(PERSALDATA!$H$2:$H$20871,PERSALDATA!$A$2:$A$20871,WORKING!A102,PERSALDATA!$D$2:$D$20871,WORKING!B102,PERSALDATA!$E$2:$E$20871,WORKING!C102)</f>
        <v>2075011.6400000001</v>
      </c>
    </row>
    <row r="103" spans="1:29" x14ac:dyDescent="0.25">
      <c r="A103" s="2">
        <f>Results!$D$3</f>
        <v>24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24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24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24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24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24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24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24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24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24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24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24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24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24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24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24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24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24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24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24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24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24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24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24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24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24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24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24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24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24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24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24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24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24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24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24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24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24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24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24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24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24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24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24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24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24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24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24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24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24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24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24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24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24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24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24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24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24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24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24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24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24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24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24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24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24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24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24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24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24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24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24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24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24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24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24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24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24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24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24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24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24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24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24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24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24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24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24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24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24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24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24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24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24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24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24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24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24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24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24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24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24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24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24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24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24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24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24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24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24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24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24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24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24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24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24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24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24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24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24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24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24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24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24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24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24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24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24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24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24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24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24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24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24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24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24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24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24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24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24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24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24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24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24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24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24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24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24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24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24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24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24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24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24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24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24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24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24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24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24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24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24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24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24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24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24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24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24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24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24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24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24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24</v>
      </c>
      <c r="E3" s="74" t="str">
        <f>INDEX(MAPs!$I$7:$J$54,MATCH(Results!$D$3,MAPs!$I$7:$I$54,0),2)</f>
        <v>Agriculture, Forestry And Fisheries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1421.7531940477979</v>
      </c>
      <c r="N9" s="148">
        <f>IFERROR(SUMIFS('Employee Profile (2)'!C$4:C$50,'Employee Profile (2)'!$B$4:$B$50,Results!$D$3),"")</f>
        <v>0.23387945287840073</v>
      </c>
      <c r="O9" s="150" t="s">
        <v>620</v>
      </c>
      <c r="P9" s="143">
        <f>IFERROR(INDEX('Employee Profile (2)'!$AC$4:$AC$50,MATCH(Results!$D$3,'Employee Profile (2)'!$B$4:$B$50,0))*$Q9,"")</f>
        <v>2987.8746430181873</v>
      </c>
      <c r="Q9" s="148">
        <f>IFERROR(SUMIFS('Employee Profile (2)'!J$4:J$50,'Employee Profile (2)'!$B$4:$B$50,Results!$D$3),"")</f>
        <v>0.49150759056064935</v>
      </c>
      <c r="R9" s="150" t="s">
        <v>627</v>
      </c>
      <c r="S9" s="144">
        <f>IFERROR(INDEX('Employee Profile (2)'!$AC$4:$AC$50,MATCH(Results!$D$3,'Employee Profile (2)'!$B$4:$B$50,0))*$T9,"")</f>
        <v>362.74808357132127</v>
      </c>
      <c r="T9" s="147">
        <f>IFERROR(SUMIFS('Employee Profile (2)'!N$4:N$50,'Employee Profile (2)'!$B$4:$B$50,Results!$D$3),"")</f>
        <v>5.9672328272959575E-2</v>
      </c>
      <c r="U9" s="150" t="s">
        <v>632</v>
      </c>
      <c r="V9" s="144">
        <f>IFERROR(INDEX('Employee Profile (2)'!$AC$4:$AC$50,MATCH(Results!$D$3,'Employee Profile (2)'!$B$4:$B$50,0))*$W9,"")</f>
        <v>2523.7032917480838</v>
      </c>
      <c r="W9" s="147">
        <f>IFERROR(SUMIFS('Employee Profile (2)'!S$4:S$50,'Employee Profile (2)'!$B$4:$B$50,Results!$D$3),"")</f>
        <v>0.41515105967232829</v>
      </c>
      <c r="X9" s="150" t="s">
        <v>635</v>
      </c>
      <c r="Y9" s="144">
        <f>IFERROR(INDEX('Employee Profile (2)'!$AC$4:$AC$50,MATCH(Results!$D$3,'Employee Profile (2)'!$B$4:$B$50,0))*$Z9,"")</f>
        <v>4477.2433488651741</v>
      </c>
      <c r="Z9" s="147">
        <f>IFERROR(SUMIFS('Employee Profile (2)'!V$4:V$50,'Employee Profile (2)'!$B$4:$B$50,Results!$D$3),"")</f>
        <v>0.73650984518262441</v>
      </c>
      <c r="AA9" s="150" t="s">
        <v>675</v>
      </c>
      <c r="AB9" s="144">
        <f>IFERROR(SUMIFS('Employee Profile (2)'!$AD$4:$AD$50,'Employee Profile (2)'!$B$4:$B$50,Results!$D$3),"")</f>
        <v>1024</v>
      </c>
      <c r="AC9" s="147">
        <f>IFERROR(SUMIFS('Employee Profile (2)'!$AE$4:$AE$50,'Employee Profile (2)'!$B$4:$B$50,Results!$D$3),"")</f>
        <v>0.16844875801941109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2060.445663610401</v>
      </c>
      <c r="N10" s="148">
        <f>IFERROR(SUMIFS('Employee Profile (2)'!D$4:D$50,'Employee Profile (2)'!$B$4:$B$50,Results!$D$3),"")</f>
        <v>0.33894483691567712</v>
      </c>
      <c r="O10" s="150" t="s">
        <v>621</v>
      </c>
      <c r="P10" s="143">
        <f>IFERROR(INDEX('Employee Profile (2)'!$AC$4:$AC$50,MATCH(Results!$D$3,'Employee Profile (2)'!$B$4:$B$50,0))*$Q10,"")</f>
        <v>946.6171651886367</v>
      </c>
      <c r="Q10" s="148">
        <f>IFERROR(SUMIFS('Employee Profile (2)'!K$4:K$50,'Employee Profile (2)'!$B$4:$B$50,Results!$D$3),"")</f>
        <v>0.15571922441004057</v>
      </c>
      <c r="R10" s="150" t="s">
        <v>628</v>
      </c>
      <c r="S10" s="144">
        <f>IFERROR(INDEX('Employee Profile (2)'!$AC$4:$AC$50,MATCH(Results!$D$3,'Employee Profile (2)'!$B$4:$B$50,0))*$T10,"")</f>
        <v>861.64091387344047</v>
      </c>
      <c r="T10" s="147">
        <f>IFERROR(SUMIFS('Employee Profile (2)'!O$4:O$50,'Employee Profile (2)'!$B$4:$B$50,Results!$D$3),"")</f>
        <v>0.14174056816473771</v>
      </c>
      <c r="U10" s="150" t="s">
        <v>633</v>
      </c>
      <c r="V10" s="144">
        <f>IFERROR(INDEX('Employee Profile (2)'!$AC$4:$AC$50,MATCH(Results!$D$3,'Employee Profile (2)'!$B$4:$B$50,0))*$W10,"")</f>
        <v>2880.9690365248762</v>
      </c>
      <c r="W10" s="147">
        <f>IFERROR(SUMIFS('Employee Profile (2)'!T$4:T$50,'Employee Profile (2)'!$B$4:$B$50,Results!$D$3),"")</f>
        <v>0.4739215391552683</v>
      </c>
      <c r="X10" s="150" t="s">
        <v>636</v>
      </c>
      <c r="Y10" s="144">
        <f>IFERROR(INDEX('Employee Profile (2)'!$AC$4:$AC$50,MATCH(Results!$D$3,'Employee Profile (2)'!$B$4:$B$50,0))*$Z10,"")</f>
        <v>418.48519464903052</v>
      </c>
      <c r="Z10" s="147">
        <f>IFERROR(SUMIFS('Employee Profile (2)'!W$4:W$50,'Employee Profile (2)'!$B$4:$B$50,Results!$D$3),"")</f>
        <v>6.8841124304824891E-2</v>
      </c>
      <c r="AA10" s="150" t="s">
        <v>676</v>
      </c>
      <c r="AB10" s="144">
        <f>IFERROR(INDEX('Employee Profile (2)'!$AC$4:$AC$50,MATCH(Results!$D$3,'Employee Profile (2)'!$B$4:$B$50))-$AB$9,"")</f>
        <v>5055</v>
      </c>
      <c r="AC10" s="147">
        <f>IFERROR(100%-$AC$9,"")</f>
        <v>0.83155124198058894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892.70750037577034</v>
      </c>
      <c r="N11" s="148">
        <f>IFERROR(SUMIFS('Employee Profile (2)'!E$4:E$50,'Employee Profile (2)'!$B$4:$B$50,Results!$D$3),"")</f>
        <v>0.1468510446415151</v>
      </c>
      <c r="O11" s="150" t="s">
        <v>622</v>
      </c>
      <c r="P11" s="143">
        <f>IFERROR(INDEX('Employee Profile (2)'!$AC$4:$AC$50,MATCH(Results!$D$3,'Employee Profile (2)'!$B$4:$B$50,0))*$Q11,"")</f>
        <v>1632.8232376371561</v>
      </c>
      <c r="Q11" s="148">
        <f>IFERROR(SUMIFS('Employee Profile (2)'!L$4:L$50,'Employee Profile (2)'!$B$4:$B$50,Results!$D$3),"")</f>
        <v>0.26860063129415301</v>
      </c>
      <c r="R11" s="150" t="s">
        <v>629</v>
      </c>
      <c r="S11" s="144">
        <f>IFERROR(INDEX('Employee Profile (2)'!$AC$4:$AC$50,MATCH(Results!$D$3,'Employee Profile (2)'!$B$4:$B$50,0))*$T11,"")</f>
        <v>1452.8197805501279</v>
      </c>
      <c r="T11" s="147">
        <f>IFERROR(SUMIFS('Employee Profile (2)'!P$4:P$50,'Employee Profile (2)'!$B$4:$B$50,Results!$D$3),"")</f>
        <v>0.23898992935517813</v>
      </c>
      <c r="U11" s="150" t="s">
        <v>53</v>
      </c>
      <c r="V11" s="144">
        <f>IFERROR(INDEX('Employee Profile (2)'!$AC$4:$AC$50,MATCH(Results!$D$3,'Employee Profile (2)'!$B$4:$B$50,0))*$W11,"")</f>
        <v>674.32767172704052</v>
      </c>
      <c r="W11" s="147">
        <f>IFERROR(SUMIFS('Employee Profile (2)'!U$4:U$50,'Employee Profile (2)'!$B$4:$B$50,Results!$D$3),"")</f>
        <v>0.11092740117240343</v>
      </c>
      <c r="X11" s="150" t="s">
        <v>637</v>
      </c>
      <c r="Y11" s="144">
        <f>IFERROR(INDEX('Employee Profile (2)'!$AC$4:$AC$50,MATCH(Results!$D$3,'Employee Profile (2)'!$B$4:$B$50,0))*$Z11,"")</f>
        <v>53.909664812866382</v>
      </c>
      <c r="Z11" s="147">
        <f>IFERROR(SUMIFS('Employee Profile (2)'!X$4:X$50,'Employee Profile (2)'!$B$4:$B$50,Results!$D$3),"")</f>
        <v>8.868179768525478E-3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732.80595220201417</v>
      </c>
      <c r="N12" s="148">
        <f>IFERROR(SUMIFS('Employee Profile (2)'!F$4:F$50,'Employee Profile (2)'!$B$4:$B$50,Results!$D$3),"")</f>
        <v>0.12054712159927852</v>
      </c>
      <c r="O12" s="150" t="s">
        <v>623</v>
      </c>
      <c r="P12" s="143">
        <f>IFERROR(INDEX('Employee Profile (2)'!$AC$4:$AC$50,MATCH(Results!$D$3,'Employee Profile (2)'!$B$4:$B$50,0))*$Q12,"")</f>
        <v>511.68495415601984</v>
      </c>
      <c r="Q12" s="148">
        <f>IFERROR(SUMIFS('Employee Profile (2)'!M$4:M$50,'Employee Profile (2)'!$B$4:$B$50,Results!$D$3),"")</f>
        <v>8.4172553735157071E-2</v>
      </c>
      <c r="R12" s="150" t="s">
        <v>630</v>
      </c>
      <c r="S12" s="144">
        <f>IFERROR(INDEX('Employee Profile (2)'!$AC$4:$AC$50,MATCH(Results!$D$3,'Employee Profile (2)'!$B$4:$B$50,0))*$T12,"")</f>
        <v>128.83496167142641</v>
      </c>
      <c r="T12" s="147">
        <f>IFERROR(SUMIFS('Employee Profile (2)'!Q$4:Q$50,'Employee Profile (2)'!$B$4:$B$50,Results!$D$3),"")</f>
        <v>2.1193446565459191E-2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455.03411994588907</v>
      </c>
      <c r="Z12" s="147">
        <f>IFERROR(SUMIFS('Employee Profile (2)'!Y$4:Y$50,'Employee Profile (2)'!$B$4:$B$50,Results!$D$3),"")</f>
        <v>7.4853449571621822E-2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296.96001803697578</v>
      </c>
      <c r="N13" s="148">
        <f>IFERROR(SUMIFS('Employee Profile (2)'!G$4:G$50,'Employee Profile (2)'!$B$4:$B$50,Results!$D$3),"")</f>
        <v>4.8850142792725086E-2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3272.9562603336844</v>
      </c>
      <c r="T13" s="147">
        <f>IFERROR(SUMIFS('Employee Profile (2)'!R$4:R$50,'Employee Profile (2)'!$B$4:$B$50,Results!$D$3),"")</f>
        <v>0.53840372764166544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674.32767172704052</v>
      </c>
      <c r="Z13" s="147">
        <f>IFERROR(SUMIFS('Employee Profile (2)'!Z$4:Z$50,'Employee Profile (2)'!$B$4:$B$50,Results!$D$3),"")</f>
        <v>0.11092740117240343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1.8274462648429282</v>
      </c>
      <c r="N14" s="148">
        <f>IFERROR(SUMIFS('Employee Profile (2)'!H$4:H$50,'Employee Profile (2)'!$B$4:$B$50,Results!$D$3),"")</f>
        <v>3.006162633398467E-4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672.50022546219748</v>
      </c>
      <c r="N15" s="148">
        <f>IFERROR(SUMIFS('Employee Profile (2)'!I$4:I$50,'Employee Profile (2)'!$B$4:$B$50,Results!$D$3),"")</f>
        <v>0.11062678490906358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1021</v>
      </c>
      <c r="G29" s="87">
        <f t="shared" ref="G29:G44" si="4">SUMIFS($K$64:$K$509,$A$64:$A$509,B29,$C$64:$C$509,"Total")</f>
        <v>372.6767874632713</v>
      </c>
      <c r="H29" s="83">
        <f t="shared" ref="H29:H44" si="5">SUMIFS($J$64:$J$509,$A$64:$A$509,B29,$C$64:$C$509,"Total")</f>
        <v>380503</v>
      </c>
      <c r="I29" s="21">
        <f t="shared" ref="I29:I44" si="6">-SUMIFS($O$64:$O$509,$A$64:$A$509,$B29,$C$64:$C$509,"Total")+SUMIFS($N$64:$N$509,$A$64:$A$509,$B29,$C$64:$C$509,"Total")</f>
        <v>0</v>
      </c>
      <c r="J29" s="88">
        <f t="shared" ref="J29:J44" si="7">SUMIFS($P$64:$P$509,$A$64:$A$509,$B29,$C$64:$C$509,"Total")</f>
        <v>1021</v>
      </c>
      <c r="K29" s="88">
        <f t="shared" ref="K29:K44" si="8">SUMIFS($M$64:$M$509,$A$64:$A$509,$B29,$C$64:$C$509,"Total")</f>
        <v>403.37373908685765</v>
      </c>
      <c r="L29" s="88">
        <f t="shared" ref="L29:L44" si="9">SUMIFS($R$64:$R$509,$A$64:$A$509,$B29,$C$64:$C$509,"Total")+SUMIFS($Q$64:$Q$509,$A$64:$A$509,$B29,$C$64:$C$509,"Total")</f>
        <v>0</v>
      </c>
      <c r="M29" s="88">
        <f t="shared" ref="M29:M44" si="10">SUMIFS($S$64:$S$509,$A$64:$A$509,$B29,$C$64:$C$509,"Total")</f>
        <v>411844.58760768169</v>
      </c>
      <c r="N29" s="88">
        <f t="shared" ref="N29:N44" si="11">SUMIFS($S$64:$S$509,$A$64:$A$509,$B29,$C$64:$C$509,"Compensation Budget")</f>
        <v>434619</v>
      </c>
      <c r="O29" s="89">
        <f t="shared" ref="O29:O44" si="12">SUMIFS($S$64:$S$509,$A$64:$A$509,$B29,$C$64:$C$509,"Under/(Over)")</f>
        <v>22774.412392318307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1021</v>
      </c>
      <c r="R29" s="88">
        <f t="shared" ref="R29:R44" si="15">SUMIFS($U$64:$U$509,$A$64:$A$509,$B29,$C$64:$C$509,"Total")</f>
        <v>437.08549482991498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446264.29022134317</v>
      </c>
      <c r="U29" s="88">
        <f t="shared" ref="U29:U44" si="18">SUMIFS($AA$64:$AA$509,$A$64:$A$509,$B29,$C$64:$C$509,"Compensation Budget")</f>
        <v>452102</v>
      </c>
      <c r="V29" s="89">
        <f t="shared" ref="V29:V44" si="19">SUMIFS($AA$64:$AA$509,$A$64:$A$509,$B29,$C$64:$C$509,"Under/(Over)")</f>
        <v>5837.7097786568338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1021</v>
      </c>
      <c r="Y29" s="88">
        <f t="shared" ref="Y29:Y44" si="22">SUMIFS($AC$64:$AC$509,$A$64:$A$509,$B29,$C$64:$C$509,"Total")</f>
        <v>473.17644281298459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483113.14811205724</v>
      </c>
      <c r="AB29" s="88">
        <f t="shared" ref="AB29:AB44" si="25">SUMIFS($AI$64:$AI$509,$A$64:$A$509,$B29,$C$64:$C$509,"Compensation Budget")</f>
        <v>466955</v>
      </c>
      <c r="AC29" s="89">
        <f t="shared" ref="AC29:AC44" si="26">SUMIFS($AI$64:$AI$509,$A$64:$A$509,$B29,$C$64:$C$509,"Under/(Over)")</f>
        <v>-16158.148112057243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1021</v>
      </c>
      <c r="AF29" s="88">
        <f t="shared" ref="AF29:AF44" si="29">SUMIFS($AK$64:$AK$509,$A$64:$A$509,$B29,$C$64:$C$509,"Total")</f>
        <v>511.29324181516341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522030.39989328186</v>
      </c>
      <c r="AI29" s="88">
        <f t="shared" ref="AI29:AI44" si="32">SUMIFS($AQ$64:$AQ$509,$A$64:$A$509,$B29,$C$64:$C$509,"Compensation Budget")</f>
        <v>502443.58</v>
      </c>
      <c r="AJ29" s="89">
        <f t="shared" ref="AJ29:AJ44" si="33">SUMIFS($AQ$64:$AQ$509,$A$64:$A$509,$B29,$C$64:$C$509,"Under/(Over)")</f>
        <v>-19586.819893281849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Agricultural Production, Health and Food Safety</v>
      </c>
      <c r="D30" s="222">
        <f t="shared" si="2"/>
        <v>0</v>
      </c>
      <c r="E30" s="223">
        <f t="shared" si="2"/>
        <v>0</v>
      </c>
      <c r="F30" s="80">
        <f t="shared" si="3"/>
        <v>1492</v>
      </c>
      <c r="G30" s="155">
        <f t="shared" si="4"/>
        <v>297.857908847185</v>
      </c>
      <c r="H30" s="155">
        <f t="shared" si="5"/>
        <v>444404.00000000006</v>
      </c>
      <c r="I30" s="23">
        <f t="shared" si="6"/>
        <v>0</v>
      </c>
      <c r="J30" s="22">
        <f t="shared" si="7"/>
        <v>1492</v>
      </c>
      <c r="K30" s="22">
        <f t="shared" si="8"/>
        <v>323.87947041769024</v>
      </c>
      <c r="L30" s="22">
        <f t="shared" si="9"/>
        <v>0</v>
      </c>
      <c r="M30" s="22">
        <f t="shared" si="10"/>
        <v>483228.16986319382</v>
      </c>
      <c r="N30" s="22">
        <f t="shared" si="11"/>
        <v>591793</v>
      </c>
      <c r="O30" s="91">
        <f t="shared" si="12"/>
        <v>108564.83013680618</v>
      </c>
      <c r="P30" s="23">
        <f t="shared" si="13"/>
        <v>0</v>
      </c>
      <c r="Q30" s="22">
        <f t="shared" si="14"/>
        <v>1492</v>
      </c>
      <c r="R30" s="22">
        <f t="shared" si="15"/>
        <v>351.31999135280967</v>
      </c>
      <c r="S30" s="22">
        <f t="shared" si="16"/>
        <v>0</v>
      </c>
      <c r="T30" s="22">
        <f t="shared" si="17"/>
        <v>524169.42709839199</v>
      </c>
      <c r="U30" s="22">
        <f t="shared" si="18"/>
        <v>615293</v>
      </c>
      <c r="V30" s="91">
        <f t="shared" si="19"/>
        <v>91123.572901608015</v>
      </c>
      <c r="W30" s="23">
        <f t="shared" si="20"/>
        <v>0</v>
      </c>
      <c r="X30" s="22">
        <f t="shared" si="21"/>
        <v>1492</v>
      </c>
      <c r="Y30" s="22">
        <f t="shared" si="22"/>
        <v>380.73031566317599</v>
      </c>
      <c r="Z30" s="22">
        <f t="shared" si="23"/>
        <v>0</v>
      </c>
      <c r="AA30" s="22">
        <f t="shared" si="24"/>
        <v>568049.63096945861</v>
      </c>
      <c r="AB30" s="22">
        <f t="shared" si="25"/>
        <v>636431</v>
      </c>
      <c r="AC30" s="91">
        <f t="shared" si="26"/>
        <v>68381.369030541391</v>
      </c>
      <c r="AD30" s="23">
        <f t="shared" si="27"/>
        <v>0</v>
      </c>
      <c r="AE30" s="22">
        <f t="shared" si="28"/>
        <v>1492</v>
      </c>
      <c r="AF30" s="22">
        <f t="shared" si="29"/>
        <v>411.83187429452272</v>
      </c>
      <c r="AG30" s="22">
        <f t="shared" si="30"/>
        <v>0</v>
      </c>
      <c r="AH30" s="22">
        <f t="shared" si="31"/>
        <v>614453.15644742793</v>
      </c>
      <c r="AI30" s="22">
        <f t="shared" si="32"/>
        <v>684799.75600000005</v>
      </c>
      <c r="AJ30" s="91">
        <f t="shared" si="33"/>
        <v>70346.599552572123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Food Security and Agrarian Reform</v>
      </c>
      <c r="D31" s="222">
        <f t="shared" si="2"/>
        <v>0</v>
      </c>
      <c r="E31" s="223">
        <f t="shared" si="2"/>
        <v>0</v>
      </c>
      <c r="F31" s="80">
        <f t="shared" si="3"/>
        <v>663</v>
      </c>
      <c r="G31" s="155">
        <f t="shared" si="4"/>
        <v>197.81204925934122</v>
      </c>
      <c r="H31" s="155">
        <f t="shared" si="5"/>
        <v>131149.38865894324</v>
      </c>
      <c r="I31" s="23">
        <f t="shared" si="6"/>
        <v>0</v>
      </c>
      <c r="J31" s="22">
        <f t="shared" si="7"/>
        <v>663</v>
      </c>
      <c r="K31" s="22">
        <f t="shared" si="8"/>
        <v>214.60577807467939</v>
      </c>
      <c r="L31" s="22">
        <f t="shared" si="9"/>
        <v>0</v>
      </c>
      <c r="M31" s="22">
        <f t="shared" si="10"/>
        <v>142283.63086351243</v>
      </c>
      <c r="N31" s="22">
        <f t="shared" si="11"/>
        <v>156788</v>
      </c>
      <c r="O31" s="91">
        <f t="shared" si="12"/>
        <v>14504.36913648757</v>
      </c>
      <c r="P31" s="23">
        <f t="shared" si="13"/>
        <v>0</v>
      </c>
      <c r="Q31" s="22">
        <f t="shared" si="14"/>
        <v>663</v>
      </c>
      <c r="R31" s="22">
        <f t="shared" si="15"/>
        <v>232.66537034264957</v>
      </c>
      <c r="S31" s="22">
        <f t="shared" si="16"/>
        <v>0</v>
      </c>
      <c r="T31" s="22">
        <f t="shared" si="17"/>
        <v>154257.14053717666</v>
      </c>
      <c r="U31" s="22">
        <f t="shared" si="18"/>
        <v>165114</v>
      </c>
      <c r="V31" s="91">
        <f t="shared" si="19"/>
        <v>10856.85946282334</v>
      </c>
      <c r="W31" s="23">
        <f t="shared" si="20"/>
        <v>0</v>
      </c>
      <c r="X31" s="22">
        <f t="shared" si="21"/>
        <v>663</v>
      </c>
      <c r="Y31" s="22">
        <f t="shared" si="22"/>
        <v>252.01067368547501</v>
      </c>
      <c r="Z31" s="22">
        <f t="shared" si="23"/>
        <v>0</v>
      </c>
      <c r="AA31" s="22">
        <f t="shared" si="24"/>
        <v>167083.07665346994</v>
      </c>
      <c r="AB31" s="22">
        <f t="shared" si="25"/>
        <v>170860</v>
      </c>
      <c r="AC31" s="91">
        <f t="shared" si="26"/>
        <v>3776.923346530064</v>
      </c>
      <c r="AD31" s="23">
        <f t="shared" si="27"/>
        <v>0</v>
      </c>
      <c r="AE31" s="22">
        <f t="shared" si="28"/>
        <v>663</v>
      </c>
      <c r="AF31" s="22">
        <f t="shared" si="29"/>
        <v>272.45542915859119</v>
      </c>
      <c r="AG31" s="22">
        <f t="shared" si="30"/>
        <v>0</v>
      </c>
      <c r="AH31" s="22">
        <f t="shared" si="31"/>
        <v>180637.94953214595</v>
      </c>
      <c r="AI31" s="22">
        <f t="shared" si="32"/>
        <v>183845.36000000002</v>
      </c>
      <c r="AJ31" s="91">
        <f t="shared" si="33"/>
        <v>3207.4104678540607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Trade Promotion and Market Access</v>
      </c>
      <c r="D32" s="222">
        <f t="shared" si="2"/>
        <v>0</v>
      </c>
      <c r="E32" s="223">
        <f t="shared" si="2"/>
        <v>0</v>
      </c>
      <c r="F32" s="80">
        <f t="shared" si="3"/>
        <v>145</v>
      </c>
      <c r="G32" s="155">
        <f t="shared" si="4"/>
        <v>650.85517241379307</v>
      </c>
      <c r="H32" s="155">
        <f t="shared" si="5"/>
        <v>94374</v>
      </c>
      <c r="I32" s="23">
        <f t="shared" si="6"/>
        <v>0</v>
      </c>
      <c r="J32" s="22">
        <f t="shared" si="7"/>
        <v>145</v>
      </c>
      <c r="K32" s="22">
        <f t="shared" si="8"/>
        <v>698.5738871697896</v>
      </c>
      <c r="L32" s="22">
        <f t="shared" si="9"/>
        <v>0</v>
      </c>
      <c r="M32" s="22">
        <f t="shared" si="10"/>
        <v>101293.2136396195</v>
      </c>
      <c r="N32" s="22">
        <f t="shared" si="11"/>
        <v>101628</v>
      </c>
      <c r="O32" s="91">
        <f t="shared" si="12"/>
        <v>334.78636038050172</v>
      </c>
      <c r="P32" s="23">
        <f t="shared" si="13"/>
        <v>0</v>
      </c>
      <c r="Q32" s="22">
        <f t="shared" si="14"/>
        <v>145</v>
      </c>
      <c r="R32" s="22">
        <f t="shared" si="15"/>
        <v>755.46868585869629</v>
      </c>
      <c r="S32" s="22">
        <f t="shared" si="16"/>
        <v>0</v>
      </c>
      <c r="T32" s="22">
        <f t="shared" si="17"/>
        <v>109542.95944951096</v>
      </c>
      <c r="U32" s="22">
        <f t="shared" si="18"/>
        <v>106864</v>
      </c>
      <c r="V32" s="91">
        <f t="shared" si="19"/>
        <v>-2678.9594495109632</v>
      </c>
      <c r="W32" s="23">
        <f t="shared" si="20"/>
        <v>0</v>
      </c>
      <c r="X32" s="22">
        <f t="shared" si="21"/>
        <v>145</v>
      </c>
      <c r="Y32" s="22">
        <f t="shared" si="22"/>
        <v>816.24720981912742</v>
      </c>
      <c r="Z32" s="22">
        <f t="shared" si="23"/>
        <v>0</v>
      </c>
      <c r="AA32" s="22">
        <f t="shared" si="24"/>
        <v>118355.84542377347</v>
      </c>
      <c r="AB32" s="22">
        <f t="shared" si="25"/>
        <v>110065</v>
      </c>
      <c r="AC32" s="91">
        <f t="shared" si="26"/>
        <v>-8290.8454237734695</v>
      </c>
      <c r="AD32" s="23">
        <f t="shared" si="27"/>
        <v>0</v>
      </c>
      <c r="AE32" s="22">
        <f t="shared" si="28"/>
        <v>145</v>
      </c>
      <c r="AF32" s="22">
        <f t="shared" si="29"/>
        <v>880.27719664200777</v>
      </c>
      <c r="AG32" s="22">
        <f t="shared" si="30"/>
        <v>0</v>
      </c>
      <c r="AH32" s="22">
        <f t="shared" si="31"/>
        <v>127640.19351309113</v>
      </c>
      <c r="AI32" s="22">
        <f t="shared" si="32"/>
        <v>118429.94</v>
      </c>
      <c r="AJ32" s="91">
        <f t="shared" si="33"/>
        <v>-9210.2535130911274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Forestry and Natural Resources Management</v>
      </c>
      <c r="D33" s="222">
        <f t="shared" si="2"/>
        <v>0</v>
      </c>
      <c r="E33" s="223">
        <f t="shared" si="2"/>
        <v>0</v>
      </c>
      <c r="F33" s="80">
        <f t="shared" si="3"/>
        <v>2242</v>
      </c>
      <c r="G33" s="155">
        <f t="shared" si="4"/>
        <v>224.65297487993095</v>
      </c>
      <c r="H33" s="155">
        <f t="shared" si="5"/>
        <v>503671.96968080522</v>
      </c>
      <c r="I33" s="23">
        <f t="shared" si="6"/>
        <v>0</v>
      </c>
      <c r="J33" s="22">
        <f t="shared" si="7"/>
        <v>2242</v>
      </c>
      <c r="K33" s="22">
        <f t="shared" si="8"/>
        <v>243.81801947046907</v>
      </c>
      <c r="L33" s="22">
        <f t="shared" si="9"/>
        <v>0</v>
      </c>
      <c r="M33" s="22">
        <f t="shared" si="10"/>
        <v>546639.99965279165</v>
      </c>
      <c r="N33" s="22">
        <f t="shared" si="11"/>
        <v>553715</v>
      </c>
      <c r="O33" s="91">
        <f t="shared" si="12"/>
        <v>7075.0003472083481</v>
      </c>
      <c r="P33" s="23">
        <f t="shared" si="13"/>
        <v>0</v>
      </c>
      <c r="Q33" s="22">
        <f t="shared" si="14"/>
        <v>2242</v>
      </c>
      <c r="R33" s="22">
        <f t="shared" si="15"/>
        <v>264.33615562408261</v>
      </c>
      <c r="S33" s="22">
        <f t="shared" si="16"/>
        <v>0</v>
      </c>
      <c r="T33" s="22">
        <f t="shared" si="17"/>
        <v>592641.66090919322</v>
      </c>
      <c r="U33" s="22">
        <f t="shared" si="18"/>
        <v>566348</v>
      </c>
      <c r="V33" s="91">
        <f t="shared" si="19"/>
        <v>-26293.660909193219</v>
      </c>
      <c r="W33" s="23">
        <f t="shared" si="20"/>
        <v>0</v>
      </c>
      <c r="X33" s="22">
        <f t="shared" si="21"/>
        <v>2242</v>
      </c>
      <c r="Y33" s="22">
        <f t="shared" si="22"/>
        <v>286.31385442760319</v>
      </c>
      <c r="Z33" s="22">
        <f t="shared" si="23"/>
        <v>0</v>
      </c>
      <c r="AA33" s="22">
        <f t="shared" si="24"/>
        <v>641915.66162668634</v>
      </c>
      <c r="AB33" s="22">
        <f t="shared" si="25"/>
        <v>586280</v>
      </c>
      <c r="AC33" s="91">
        <f t="shared" si="26"/>
        <v>-55635.661626686342</v>
      </c>
      <c r="AD33" s="23">
        <f t="shared" si="27"/>
        <v>0</v>
      </c>
      <c r="AE33" s="22">
        <f t="shared" si="28"/>
        <v>2242</v>
      </c>
      <c r="AF33" s="22">
        <f t="shared" si="29"/>
        <v>309.53935533196005</v>
      </c>
      <c r="AG33" s="22">
        <f t="shared" si="30"/>
        <v>0</v>
      </c>
      <c r="AH33" s="22">
        <f t="shared" si="31"/>
        <v>693987.2346542544</v>
      </c>
      <c r="AI33" s="22">
        <f t="shared" si="32"/>
        <v>630837.28</v>
      </c>
      <c r="AJ33" s="91">
        <f t="shared" si="33"/>
        <v>-63149.954654254369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Fisheries</v>
      </c>
      <c r="D34" s="222">
        <f t="shared" si="2"/>
        <v>0</v>
      </c>
      <c r="E34" s="223">
        <f t="shared" si="2"/>
        <v>0</v>
      </c>
      <c r="F34" s="80">
        <f t="shared" si="3"/>
        <v>514</v>
      </c>
      <c r="G34" s="155">
        <f t="shared" si="4"/>
        <v>402.75083443579769</v>
      </c>
      <c r="H34" s="155">
        <f t="shared" si="5"/>
        <v>207013.9289</v>
      </c>
      <c r="I34" s="23">
        <f t="shared" si="6"/>
        <v>0</v>
      </c>
      <c r="J34" s="22">
        <f t="shared" si="7"/>
        <v>514</v>
      </c>
      <c r="K34" s="22">
        <f t="shared" si="8"/>
        <v>436.70995657716708</v>
      </c>
      <c r="L34" s="22">
        <f t="shared" si="9"/>
        <v>0</v>
      </c>
      <c r="M34" s="22">
        <f t="shared" si="10"/>
        <v>224468.91768066387</v>
      </c>
      <c r="N34" s="22">
        <f t="shared" si="11"/>
        <v>216839</v>
      </c>
      <c r="O34" s="91">
        <f t="shared" si="12"/>
        <v>-7629.9176806638716</v>
      </c>
      <c r="P34" s="23">
        <f t="shared" si="13"/>
        <v>0</v>
      </c>
      <c r="Q34" s="22">
        <f t="shared" si="14"/>
        <v>514</v>
      </c>
      <c r="R34" s="22">
        <f t="shared" si="15"/>
        <v>473.44309534863186</v>
      </c>
      <c r="S34" s="22">
        <f t="shared" si="16"/>
        <v>0</v>
      </c>
      <c r="T34" s="22">
        <f t="shared" si="17"/>
        <v>243349.75100919677</v>
      </c>
      <c r="U34" s="22">
        <f t="shared" si="18"/>
        <v>223450</v>
      </c>
      <c r="V34" s="91">
        <f t="shared" si="19"/>
        <v>-19899.751009196771</v>
      </c>
      <c r="W34" s="23">
        <f t="shared" si="20"/>
        <v>0</v>
      </c>
      <c r="X34" s="22">
        <f t="shared" si="21"/>
        <v>514</v>
      </c>
      <c r="Y34" s="22">
        <f t="shared" si="22"/>
        <v>512.79058089643138</v>
      </c>
      <c r="Z34" s="22">
        <f t="shared" si="23"/>
        <v>0</v>
      </c>
      <c r="AA34" s="22">
        <f t="shared" si="24"/>
        <v>263574.35858076572</v>
      </c>
      <c r="AB34" s="22">
        <f t="shared" si="25"/>
        <v>231335</v>
      </c>
      <c r="AC34" s="91">
        <f t="shared" si="26"/>
        <v>-32239.358580765722</v>
      </c>
      <c r="AD34" s="23">
        <f t="shared" si="27"/>
        <v>0</v>
      </c>
      <c r="AE34" s="22">
        <f t="shared" si="28"/>
        <v>514</v>
      </c>
      <c r="AF34" s="22">
        <f t="shared" si="29"/>
        <v>554.37324219043728</v>
      </c>
      <c r="AG34" s="22">
        <f t="shared" si="30"/>
        <v>0</v>
      </c>
      <c r="AH34" s="22">
        <f t="shared" si="31"/>
        <v>284947.84648588474</v>
      </c>
      <c r="AI34" s="22">
        <f t="shared" si="32"/>
        <v>248916.46000000002</v>
      </c>
      <c r="AJ34" s="91">
        <f t="shared" si="33"/>
        <v>-36031.386485884723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6077</v>
      </c>
      <c r="G45" s="92">
        <f>IFERROR(H45/F45,0)</f>
        <v>289.8002776435327</v>
      </c>
      <c r="H45" s="92">
        <f>SUM(H29:H38)</f>
        <v>1761116.2872397483</v>
      </c>
      <c r="I45" s="25">
        <f>SUM(I29:I38)</f>
        <v>0</v>
      </c>
      <c r="J45" s="92">
        <f>SUM(J29:J38)</f>
        <v>6077</v>
      </c>
      <c r="K45" s="92">
        <f>IFERROR(M45/J45,0)</f>
        <v>314.26008216347918</v>
      </c>
      <c r="L45" s="92">
        <f t="shared" ref="L45:Q45" si="34">SUM(L29:L38)</f>
        <v>0</v>
      </c>
      <c r="M45" s="92">
        <f t="shared" si="34"/>
        <v>1909758.519307463</v>
      </c>
      <c r="N45" s="92">
        <f>INDEX('ENE17'!$C$2:$C$48,MATCH(Results!$D$3,'ENE17'!$A$2:$A$48,0))</f>
        <v>1992599</v>
      </c>
      <c r="O45" s="129">
        <f>N45-M45</f>
        <v>82840.480692537036</v>
      </c>
      <c r="P45" s="25">
        <f t="shared" si="34"/>
        <v>0</v>
      </c>
      <c r="Q45" s="24">
        <f t="shared" si="34"/>
        <v>6077</v>
      </c>
      <c r="R45" s="92">
        <f>IFERROR(T45/Q45,0)</f>
        <v>340.66566220582735</v>
      </c>
      <c r="S45" s="24">
        <f>SUM(S29:S38)</f>
        <v>0</v>
      </c>
      <c r="T45" s="24">
        <f>SUM(T29:T38)</f>
        <v>2070225.2292248129</v>
      </c>
      <c r="U45" s="207">
        <f>INDEX('ENE17'!$D$2:$D$48,MATCH(Results!$D$3,'ENE17'!$A$2:$A$48,0))</f>
        <v>2105751</v>
      </c>
      <c r="V45" s="24">
        <f>U45-T45</f>
        <v>35525.770775187062</v>
      </c>
      <c r="W45" s="25">
        <f t="shared" ref="W45:X45" si="35">SUM(W29:W38)</f>
        <v>0</v>
      </c>
      <c r="X45" s="24">
        <f t="shared" si="35"/>
        <v>6077</v>
      </c>
      <c r="Y45" s="92">
        <f>IFERROR(AA45/X45,0)</f>
        <v>368.94713203327484</v>
      </c>
      <c r="Z45" s="24">
        <f t="shared" ref="Z45:AA45" si="36">SUM(Z29:Z38)</f>
        <v>0</v>
      </c>
      <c r="AA45" s="24">
        <f t="shared" si="36"/>
        <v>2242091.7213662113</v>
      </c>
      <c r="AB45" s="207">
        <f>INDEX('ENE17'!$E$2:$E$48,MATCH(Results!$D$3,'ENE17'!$A$2:$A$48,0))</f>
        <v>2177251</v>
      </c>
      <c r="AC45" s="24">
        <f>AB45-AA45</f>
        <v>-64840.721366211306</v>
      </c>
      <c r="AD45" s="25">
        <f t="shared" ref="AD45:AE45" si="37">SUM(AD29:AD38)</f>
        <v>0</v>
      </c>
      <c r="AE45" s="24">
        <f t="shared" si="37"/>
        <v>6077</v>
      </c>
      <c r="AF45" s="92">
        <f>IFERROR(AH45/AE45,0)</f>
        <v>398.83113057858912</v>
      </c>
      <c r="AG45" s="24">
        <f t="shared" ref="AG45:AH45" si="38">SUM(AG29:AG38)</f>
        <v>0</v>
      </c>
      <c r="AH45" s="24">
        <f t="shared" si="38"/>
        <v>2423696.7805260862</v>
      </c>
      <c r="AI45" s="207">
        <f>INDEX('ENE17'!$F$2:$F$48,MATCH(Results!$D$3,'ENE17'!$A$2:$A$48,0))</f>
        <v>2343230</v>
      </c>
      <c r="AJ45" s="24">
        <f>AI45-AH45</f>
        <v>-80466.780526086222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3372</v>
      </c>
      <c r="G51" s="193">
        <f>IFERROR(H51/F51,"")</f>
        <v>163.78806346893185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552293.35001723818</v>
      </c>
      <c r="I51" s="97">
        <f>SUMIFS($N$64:$N$509,$B$64:$B$509,$B51)-SUMIFS($O$64:$O$509,$B$64:$B$509,$B51)</f>
        <v>0</v>
      </c>
      <c r="J51" s="80">
        <f>SUMIFS($P$64:$P$509,$B$64:$B$509,$B51)</f>
        <v>3372</v>
      </c>
      <c r="K51" s="80">
        <f>IFERROR(M51/J51,0)</f>
        <v>177.78437920319413</v>
      </c>
      <c r="L51" s="80">
        <f>SUMIFS($R$64:$R$509,$B$64:$B$509,$B51)+SUMIFS($Q$64:$Q$509,$B$64:$B$509,$B51)</f>
        <v>0</v>
      </c>
      <c r="M51" s="98">
        <f>SUMIFS($S$64:$S$509,$B$64:$B$509,$B51)</f>
        <v>599488.92667317064</v>
      </c>
      <c r="N51" s="80">
        <f>SUMIFS($V$64:$V$509,$B$64:$B$509,$B51)-SUMIFS($W$64:$W$509,$B$64:$B$509,$B51)</f>
        <v>0</v>
      </c>
      <c r="O51" s="80">
        <f>SUMIFS($X$64:$X$509,$B$64:$B$509,$B51)</f>
        <v>3372</v>
      </c>
      <c r="P51" s="80">
        <f>IFERROR(R51/O51,0)</f>
        <v>192.74931263091548</v>
      </c>
      <c r="Q51" s="80">
        <f>SUMIFS($Z$64:$Z$509,$B$64:$B$509,$B51)+SUMIFS($Y$64:$Y$509,$B$64:$B$509,$B51)</f>
        <v>0</v>
      </c>
      <c r="R51" s="80">
        <f>SUMIFS($AA$64:$AA$509,$B$64:$B$509,$B51)</f>
        <v>649950.68219144701</v>
      </c>
      <c r="S51" s="97">
        <f>SUMIFS($AD$64:$AD$509,$B$64:$B$509,$B51)-SUMIFS($AE$64:$AE$509,$B$64:$B$509,$B51)</f>
        <v>0</v>
      </c>
      <c r="T51" s="80">
        <f>SUMIFS($AF$64:$AF$509,$B$64:$B$509,$B51)</f>
        <v>3372</v>
      </c>
      <c r="U51" s="80">
        <f>IFERROR(W51/T51,0)</f>
        <v>208.778691707246</v>
      </c>
      <c r="V51" s="80">
        <f>SUMIFS($AH$64:$AH$509,$B$64:$B$509,$B51)+SUMIFS($AG$64:$AG$509,$B$64:$B$509,$B51)</f>
        <v>0</v>
      </c>
      <c r="W51" s="98">
        <f>SUMIFS($AI$64:$AI$509,$B$64:$B$509,$B51)</f>
        <v>704001.7484368335</v>
      </c>
      <c r="X51" s="80">
        <f>SUMIFS($AL$64:$AL$509,$B$64:$B$509,$B51)-SUMIFS($AM$64:$AM$509,$B$64:$B$509,$B51)</f>
        <v>0</v>
      </c>
      <c r="Y51" s="80">
        <f>SUMIFS($AN$64:$AN$509,$B$64:$B$509,$B51)</f>
        <v>3372</v>
      </c>
      <c r="Z51" s="80">
        <f>IFERROR(AB51/Y51,0)</f>
        <v>225.71813362945758</v>
      </c>
      <c r="AA51" s="80">
        <f>SUMIFS($AP$64:$AP$509,$B$64:$B$509,$B51)+SUMIFS($AO$64:$AO$509,$B$64:$B$509,$B51)</f>
        <v>0</v>
      </c>
      <c r="AB51" s="98">
        <f>SUMIFS($AQ$64:$AQ$509,$B$64:$B$509,$B51)</f>
        <v>761121.54659853096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2099</v>
      </c>
      <c r="G52" s="192">
        <f t="shared" ref="G52:G55" si="40">IFERROR(H52/F52,"")</f>
        <v>373.57571594267239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784135.42776366929</v>
      </c>
      <c r="I52" s="97">
        <f>SUMIFS($N$64:$N$509,$B$64:$B$509,$B52)-SUMIFS($O$64:$O$509,$B$64:$B$509,$B52)</f>
        <v>0</v>
      </c>
      <c r="J52" s="80">
        <f>SUMIFS($P$64:$P$509,$B$64:$B$509,$B52)</f>
        <v>2099</v>
      </c>
      <c r="K52" s="80">
        <f t="shared" ref="K52:K56" si="41">IFERROR(M52/J52,0)</f>
        <v>406.90871639925024</v>
      </c>
      <c r="L52" s="80">
        <f>SUMIFS($R$64:$R$509,$B$64:$B$509,$B52)+SUMIFS($Q$64:$Q$509,$B$64:$B$509,$B52)</f>
        <v>0</v>
      </c>
      <c r="M52" s="98">
        <f>SUMIFS($S$64:$S$509,$B$64:$B$509,$B52)</f>
        <v>854101.39572202624</v>
      </c>
      <c r="N52" s="80">
        <f>SUMIFS($V$64:$V$509,$B$64:$B$509,$B52)-SUMIFS($W$64:$W$509,$B$64:$B$509,$B52)</f>
        <v>0</v>
      </c>
      <c r="O52" s="80">
        <f>SUMIFS($X$64:$X$509,$B$64:$B$509,$B52)</f>
        <v>2099</v>
      </c>
      <c r="P52" s="80">
        <f t="shared" ref="P52:P55" si="42">IFERROR(R52/O52,0)</f>
        <v>441.58439836688859</v>
      </c>
      <c r="Q52" s="80">
        <f>SUMIFS($Z$64:$Z$509,$B$64:$B$509,$B52)+SUMIFS($Y$64:$Y$509,$B$64:$B$509,$B52)</f>
        <v>0</v>
      </c>
      <c r="R52" s="80">
        <f>SUMIFS($AA$64:$AA$509,$B$64:$B$509,$B52)</f>
        <v>926885.6521720991</v>
      </c>
      <c r="S52" s="97">
        <f>SUMIFS($AD$64:$AD$509,$B$64:$B$509,$B52)-SUMIFS($AE$64:$AE$509,$B$64:$B$509,$B52)</f>
        <v>0</v>
      </c>
      <c r="T52" s="80">
        <f>SUMIFS($AF$64:$AF$509,$B$64:$B$509,$B52)</f>
        <v>2099</v>
      </c>
      <c r="U52" s="80">
        <f t="shared" ref="U52:U55" si="43">IFERROR(W52/T52,0)</f>
        <v>478.76732949406056</v>
      </c>
      <c r="V52" s="80">
        <f>SUMIFS($AH$64:$AH$509,$B$64:$B$509,$B52)+SUMIFS($AG$64:$AG$509,$B$64:$B$509,$B52)</f>
        <v>0</v>
      </c>
      <c r="W52" s="98">
        <f>SUMIFS($AI$64:$AI$509,$B$64:$B$509,$B52)</f>
        <v>1004932.6246080331</v>
      </c>
      <c r="X52" s="80">
        <f>SUMIFS($AL$64:$AL$509,$B$64:$B$509,$B52)-SUMIFS($AM$64:$AM$509,$B$64:$B$509,$B52)</f>
        <v>0</v>
      </c>
      <c r="Y52" s="80">
        <f>SUMIFS($AN$64:$AN$509,$B$64:$B$509,$B52)</f>
        <v>2099</v>
      </c>
      <c r="Z52" s="80">
        <f t="shared" ref="Z52:Z55" si="44">IFERROR(AB52/Y52,0)</f>
        <v>518.11033521966624</v>
      </c>
      <c r="AA52" s="80">
        <f>SUMIFS($AP$64:$AP$509,$B$64:$B$509,$B52)+SUMIFS($AO$64:$AO$509,$B$64:$B$509,$B52)</f>
        <v>0</v>
      </c>
      <c r="AB52" s="98">
        <f>SUMIFS($AQ$64:$AQ$509,$B$64:$B$509,$B52)</f>
        <v>1087513.5936260794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465</v>
      </c>
      <c r="G53" s="192">
        <f t="shared" si="40"/>
        <v>546.25397408688411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254008.09795040113</v>
      </c>
      <c r="I53" s="97">
        <f>SUMIFS($N$64:$N$509,$B$64:$B$509,$B53)-SUMIFS($O$64:$O$509,$B$64:$B$509,$B53)</f>
        <v>0</v>
      </c>
      <c r="J53" s="80">
        <f>SUMIFS($P$64:$P$509,$B$64:$B$509,$B53)</f>
        <v>465</v>
      </c>
      <c r="K53" s="80">
        <f t="shared" si="41"/>
        <v>596.33544478146518</v>
      </c>
      <c r="L53" s="80">
        <f>SUMIFS($R$64:$R$509,$B$64:$B$509,$B53)+SUMIFS($Q$64:$Q$509,$B$64:$B$509,$B53)</f>
        <v>0</v>
      </c>
      <c r="M53" s="98">
        <f>SUMIFS($S$64:$S$509,$B$64:$B$509,$B53)</f>
        <v>277295.98182338133</v>
      </c>
      <c r="N53" s="80">
        <f>SUMIFS($V$64:$V$509,$B$64:$B$509,$B53)-SUMIFS($W$64:$W$509,$B$64:$B$509,$B53)</f>
        <v>0</v>
      </c>
      <c r="O53" s="80">
        <f>SUMIFS($X$64:$X$509,$B$64:$B$509,$B53)</f>
        <v>465</v>
      </c>
      <c r="P53" s="80">
        <f t="shared" si="42"/>
        <v>647.37831558350649</v>
      </c>
      <c r="Q53" s="80">
        <f>SUMIFS($Z$64:$Z$509,$B$64:$B$509,$B53)+SUMIFS($Y$64:$Y$509,$B$64:$B$509,$B53)</f>
        <v>0</v>
      </c>
      <c r="R53" s="80">
        <f>SUMIFS($AA$64:$AA$509,$B$64:$B$509,$B53)</f>
        <v>301030.91674633051</v>
      </c>
      <c r="S53" s="97">
        <f>SUMIFS($AD$64:$AD$509,$B$64:$B$509,$B53)-SUMIFS($AE$64:$AE$509,$B$64:$B$509,$B53)</f>
        <v>0</v>
      </c>
      <c r="T53" s="80">
        <f>SUMIFS($AF$64:$AF$509,$B$64:$B$509,$B53)</f>
        <v>465</v>
      </c>
      <c r="U53" s="80">
        <f t="shared" si="43"/>
        <v>702.13335523919682</v>
      </c>
      <c r="V53" s="80">
        <f>SUMIFS($AH$64:$AH$509,$B$64:$B$509,$B53)+SUMIFS($AG$64:$AG$509,$B$64:$B$509,$B53)</f>
        <v>0</v>
      </c>
      <c r="W53" s="98">
        <f>SUMIFS($AI$64:$AI$509,$B$64:$B$509,$B53)</f>
        <v>326492.01018622651</v>
      </c>
      <c r="X53" s="80">
        <f>SUMIFS($AL$64:$AL$509,$B$64:$B$509,$B53)-SUMIFS($AM$64:$AM$509,$B$64:$B$509,$B53)</f>
        <v>0</v>
      </c>
      <c r="Y53" s="80">
        <f>SUMIFS($AN$64:$AN$509,$B$64:$B$509,$B53)</f>
        <v>465</v>
      </c>
      <c r="Z53" s="80">
        <f t="shared" si="44"/>
        <v>760.0948327745815</v>
      </c>
      <c r="AA53" s="80">
        <f>SUMIFS($AP$64:$AP$509,$B$64:$B$509,$B53)+SUMIFS($AO$64:$AO$509,$B$64:$B$509,$B53)</f>
        <v>0</v>
      </c>
      <c r="AB53" s="98">
        <f>SUMIFS($AQ$64:$AQ$509,$B$64:$B$509,$B53)</f>
        <v>353444.09724018042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141</v>
      </c>
      <c r="G54" s="192">
        <f t="shared" si="40"/>
        <v>1210.4922802017004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170679.41150843975</v>
      </c>
      <c r="I54" s="97">
        <f>SUMIFS($N$64:$N$509,$B$64:$B$509,$B54)-SUMIFS($O$64:$O$509,$B$64:$B$509,$B54)</f>
        <v>0</v>
      </c>
      <c r="J54" s="80">
        <f>SUMIFS($P$64:$P$509,$B$64:$B$509,$B54)</f>
        <v>141</v>
      </c>
      <c r="K54" s="80">
        <f t="shared" si="41"/>
        <v>1268.597270133934</v>
      </c>
      <c r="L54" s="80">
        <f>SUMIFS($R$64:$R$509,$B$64:$B$509,$B54)+SUMIFS($Q$64:$Q$509,$B$64:$B$509,$B54)</f>
        <v>0</v>
      </c>
      <c r="M54" s="98">
        <f>SUMIFS($S$64:$S$509,$B$64:$B$509,$B54)</f>
        <v>178872.2150888847</v>
      </c>
      <c r="N54" s="80">
        <f>SUMIFS($V$64:$V$509,$B$64:$B$509,$B54)-SUMIFS($W$64:$W$509,$B$64:$B$509,$B54)</f>
        <v>0</v>
      </c>
      <c r="O54" s="80">
        <f>SUMIFS($X$64:$X$509,$B$64:$B$509,$B54)</f>
        <v>141</v>
      </c>
      <c r="P54" s="80">
        <f t="shared" si="42"/>
        <v>1364.2409795385529</v>
      </c>
      <c r="Q54" s="80">
        <f>SUMIFS($Z$64:$Z$509,$B$64:$B$509,$B54)+SUMIFS($Y$64:$Y$509,$B$64:$B$509,$B54)</f>
        <v>0</v>
      </c>
      <c r="R54" s="80">
        <f>SUMIFS($AA$64:$AA$509,$B$64:$B$509,$B54)</f>
        <v>192357.97811493595</v>
      </c>
      <c r="S54" s="97">
        <f>SUMIFS($AD$64:$AD$509,$B$64:$B$509,$B54)-SUMIFS($AE$64:$AE$509,$B$64:$B$509,$B54)</f>
        <v>0</v>
      </c>
      <c r="T54" s="80">
        <f>SUMIFS($AF$64:$AF$509,$B$64:$B$509,$B54)</f>
        <v>141</v>
      </c>
      <c r="U54" s="80">
        <f t="shared" si="43"/>
        <v>1465.7116179795589</v>
      </c>
      <c r="V54" s="80">
        <f>SUMIFS($AH$64:$AH$509,$B$64:$B$509,$B54)+SUMIFS($AG$64:$AG$509,$B$64:$B$509,$B54)</f>
        <v>0</v>
      </c>
      <c r="W54" s="98">
        <f>SUMIFS($AI$64:$AI$509,$B$64:$B$509,$B54)</f>
        <v>206665.33813511781</v>
      </c>
      <c r="X54" s="80">
        <f>SUMIFS($AL$64:$AL$509,$B$64:$B$509,$B54)-SUMIFS($AM$64:$AM$509,$B$64:$B$509,$B54)</f>
        <v>0</v>
      </c>
      <c r="Y54" s="80">
        <f>SUMIFS($AN$64:$AN$509,$B$64:$B$509,$B54)</f>
        <v>141</v>
      </c>
      <c r="Z54" s="80">
        <f t="shared" si="44"/>
        <v>1571.7556245481928</v>
      </c>
      <c r="AA54" s="80">
        <f>SUMIFS($AP$64:$AP$509,$B$64:$B$509,$B54)+SUMIFS($AO$64:$AO$509,$B$64:$B$509,$B54)</f>
        <v>0</v>
      </c>
      <c r="AB54" s="98">
        <f>SUMIFS($AQ$64:$AQ$509,$B$64:$B$509,$B54)</f>
        <v>221617.54306129517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6077</v>
      </c>
      <c r="G56" s="92">
        <f t="shared" ref="G56" si="45">IFERROR(H56/F56,0)</f>
        <v>289.8002776435327</v>
      </c>
      <c r="H56" s="92">
        <f>SUM(H51:H55)</f>
        <v>1761116.2872397483</v>
      </c>
      <c r="I56" s="92">
        <f>SUM(I51:I55)</f>
        <v>0</v>
      </c>
      <c r="J56" s="92">
        <f>SUM(J51:J55)</f>
        <v>6077</v>
      </c>
      <c r="K56" s="92">
        <f t="shared" si="41"/>
        <v>314.26008216347918</v>
      </c>
      <c r="L56" s="92">
        <f>SUM(L51:L55)</f>
        <v>0</v>
      </c>
      <c r="M56" s="92">
        <f>SUM(M51:M55)</f>
        <v>1909758.519307463</v>
      </c>
      <c r="N56" s="92">
        <f t="shared" ref="N56:O56" si="46">SUM(N51:N55)</f>
        <v>0</v>
      </c>
      <c r="O56" s="92">
        <f t="shared" si="46"/>
        <v>6077</v>
      </c>
      <c r="P56" s="92">
        <f>IFERROR(R56/O56,0)</f>
        <v>340.66566220582735</v>
      </c>
      <c r="Q56" s="92">
        <f t="shared" ref="Q56" si="47">SUM(Q51:Q55)</f>
        <v>0</v>
      </c>
      <c r="R56" s="92">
        <f t="shared" ref="R56:T56" si="48">SUM(R51:R55)</f>
        <v>2070225.2292248127</v>
      </c>
      <c r="S56" s="92">
        <f t="shared" si="48"/>
        <v>0</v>
      </c>
      <c r="T56" s="92">
        <f t="shared" si="48"/>
        <v>6077</v>
      </c>
      <c r="U56" s="92">
        <f>IFERROR(W56/T56,0)</f>
        <v>368.94713203327478</v>
      </c>
      <c r="V56" s="92">
        <f t="shared" ref="V56" si="49">SUM(V51:V55)</f>
        <v>0</v>
      </c>
      <c r="W56" s="92">
        <f t="shared" ref="W56:Y56" si="50">SUM(W51:W55)</f>
        <v>2242091.7213662108</v>
      </c>
      <c r="X56" s="92">
        <f t="shared" si="50"/>
        <v>0</v>
      </c>
      <c r="Y56" s="92">
        <f t="shared" si="50"/>
        <v>6077</v>
      </c>
      <c r="Z56" s="92">
        <f>IFERROR(AB56/Y56,0)</f>
        <v>398.83113057858907</v>
      </c>
      <c r="AA56" s="92">
        <f t="shared" ref="AA56" si="51">SUM(AA51:AA55)</f>
        <v>0</v>
      </c>
      <c r="AB56" s="104">
        <f t="shared" ref="AB56" si="52">SUM(AB51:AB55)</f>
        <v>2423696.7805260858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36</v>
      </c>
      <c r="G65" s="35">
        <f>SUMIFS(WORKING!$AC$3:$AC$6802,WORKING!$A$3:$A$6802,Results!$D$3,WORKING!$B$3:$B$6802,Results!A65,WORKING!$C$3:$C$6802,Results!C65)/1000</f>
        <v>4124.3253800000002</v>
      </c>
      <c r="H65" s="35">
        <f t="shared" ref="H65:H80" si="60">IFERROR(G65/F65,0)</f>
        <v>114.56459388888889</v>
      </c>
      <c r="I65" s="187">
        <v>35</v>
      </c>
      <c r="J65" s="212">
        <v>4162</v>
      </c>
      <c r="K65" s="217">
        <f t="shared" ref="K65:K80" si="61">IFERROR(IF(J65="",G65,J65)/IF(I65="",F65,I65),"")</f>
        <v>118.91428571428571</v>
      </c>
      <c r="L65" s="34">
        <f t="shared" si="54"/>
        <v>35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128.88911781921482</v>
      </c>
      <c r="N65" s="57">
        <v>0</v>
      </c>
      <c r="O65" s="57">
        <v>0</v>
      </c>
      <c r="P65" s="61">
        <f t="shared" si="55"/>
        <v>35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4511.119123672519</v>
      </c>
      <c r="T65" s="35">
        <f t="shared" ref="T65:T80" si="65">P65</f>
        <v>35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139.67643068955888</v>
      </c>
      <c r="V65" s="57">
        <v>0</v>
      </c>
      <c r="W65" s="57">
        <v>0</v>
      </c>
      <c r="X65" s="61">
        <f t="shared" si="56"/>
        <v>35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4888.6750741345613</v>
      </c>
      <c r="AB65" s="35">
        <f t="shared" ref="AB65:AB80" si="69">X65</f>
        <v>35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151.22517611208485</v>
      </c>
      <c r="AD65" s="57">
        <v>0</v>
      </c>
      <c r="AE65" s="57">
        <v>0</v>
      </c>
      <c r="AF65" s="61">
        <f t="shared" si="57"/>
        <v>35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5292.8811639229698</v>
      </c>
      <c r="AJ65" s="35">
        <f t="shared" si="58"/>
        <v>35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163.4226000420347</v>
      </c>
      <c r="AL65" s="57">
        <v>0</v>
      </c>
      <c r="AM65" s="57">
        <v>0</v>
      </c>
      <c r="AN65" s="61">
        <f t="shared" si="59"/>
        <v>35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5719.7910014712143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75</v>
      </c>
      <c r="G66" s="35">
        <f>SUMIFS(WORKING!$AC$3:$AC$6802,WORKING!$A$3:$A$6802,Results!$D$3,WORKING!$B$3:$B$6802,Results!A66,WORKING!$C$3:$C$6802,Results!C66)/1000</f>
        <v>11783.482600000001</v>
      </c>
      <c r="H66" s="35">
        <f t="shared" si="60"/>
        <v>157.11310133333336</v>
      </c>
      <c r="I66" s="187">
        <v>75</v>
      </c>
      <c r="J66" s="212">
        <v>11889</v>
      </c>
      <c r="K66" s="217">
        <f t="shared" si="61"/>
        <v>158.52000000000001</v>
      </c>
      <c r="L66" s="34">
        <f t="shared" si="54"/>
        <v>75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171.9445681699155</v>
      </c>
      <c r="N66" s="57">
        <v>0</v>
      </c>
      <c r="O66" s="57">
        <v>0</v>
      </c>
      <c r="P66" s="61">
        <f t="shared" si="55"/>
        <v>75</v>
      </c>
      <c r="Q66" s="40">
        <f t="shared" si="62"/>
        <v>0</v>
      </c>
      <c r="R66" s="40">
        <f t="shared" si="63"/>
        <v>0</v>
      </c>
      <c r="S66" s="44">
        <f t="shared" si="64"/>
        <v>12895.842612743663</v>
      </c>
      <c r="T66" s="35">
        <f t="shared" si="65"/>
        <v>75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186.37514374390582</v>
      </c>
      <c r="V66" s="57">
        <v>0</v>
      </c>
      <c r="W66" s="57">
        <v>0</v>
      </c>
      <c r="X66" s="61">
        <f t="shared" si="56"/>
        <v>75</v>
      </c>
      <c r="Y66" s="40">
        <f t="shared" si="66"/>
        <v>0</v>
      </c>
      <c r="Z66" s="40">
        <f t="shared" si="67"/>
        <v>0</v>
      </c>
      <c r="AA66" s="44">
        <f t="shared" si="68"/>
        <v>13978.135780792936</v>
      </c>
      <c r="AB66" s="35">
        <f t="shared" si="69"/>
        <v>75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201.82807909400401</v>
      </c>
      <c r="AD66" s="57">
        <v>0</v>
      </c>
      <c r="AE66" s="57">
        <v>0</v>
      </c>
      <c r="AF66" s="61">
        <f t="shared" si="57"/>
        <v>75</v>
      </c>
      <c r="AG66" s="40">
        <f t="shared" si="70"/>
        <v>0</v>
      </c>
      <c r="AH66" s="40">
        <f t="shared" si="71"/>
        <v>0</v>
      </c>
      <c r="AI66" s="44">
        <f t="shared" si="72"/>
        <v>15137.105932050301</v>
      </c>
      <c r="AJ66" s="35">
        <f t="shared" si="58"/>
        <v>75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218.15349323702767</v>
      </c>
      <c r="AL66" s="57">
        <v>0</v>
      </c>
      <c r="AM66" s="57">
        <v>0</v>
      </c>
      <c r="AN66" s="61">
        <f t="shared" si="59"/>
        <v>75</v>
      </c>
      <c r="AO66" s="40">
        <f t="shared" si="73"/>
        <v>0</v>
      </c>
      <c r="AP66" s="40">
        <f t="shared" si="74"/>
        <v>0</v>
      </c>
      <c r="AQ66" s="44">
        <f t="shared" si="75"/>
        <v>16361.511992777076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29</v>
      </c>
      <c r="G67" s="35">
        <f>SUMIFS(WORKING!$AC$3:$AC$6802,WORKING!$A$3:$A$6802,Results!$D$3,WORKING!$B$3:$B$6802,Results!A67,WORKING!$C$3:$C$6802,Results!C67)/1000</f>
        <v>4978.7982400000001</v>
      </c>
      <c r="H67" s="35">
        <f t="shared" si="60"/>
        <v>171.68269793103448</v>
      </c>
      <c r="I67" s="187">
        <v>28</v>
      </c>
      <c r="J67" s="212">
        <v>5024</v>
      </c>
      <c r="K67" s="217">
        <f t="shared" si="61"/>
        <v>179.42857142857142</v>
      </c>
      <c r="L67" s="34">
        <f t="shared" si="54"/>
        <v>28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194.82497169635099</v>
      </c>
      <c r="N67" s="57">
        <v>0</v>
      </c>
      <c r="O67" s="57">
        <v>0</v>
      </c>
      <c r="P67" s="61">
        <f t="shared" si="55"/>
        <v>28</v>
      </c>
      <c r="Q67" s="40">
        <f t="shared" si="62"/>
        <v>0</v>
      </c>
      <c r="R67" s="40">
        <f t="shared" si="63"/>
        <v>0</v>
      </c>
      <c r="S67" s="44">
        <f t="shared" si="64"/>
        <v>5455.0992074978276</v>
      </c>
      <c r="T67" s="35">
        <f t="shared" si="65"/>
        <v>28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211.23891860705467</v>
      </c>
      <c r="V67" s="57">
        <v>0</v>
      </c>
      <c r="W67" s="57">
        <v>0</v>
      </c>
      <c r="X67" s="61">
        <f t="shared" si="56"/>
        <v>28</v>
      </c>
      <c r="Y67" s="40">
        <f t="shared" si="66"/>
        <v>0</v>
      </c>
      <c r="Z67" s="40">
        <f t="shared" si="67"/>
        <v>0</v>
      </c>
      <c r="AA67" s="44">
        <f t="shared" si="68"/>
        <v>5914.6897209975305</v>
      </c>
      <c r="AB67" s="35">
        <f t="shared" si="69"/>
        <v>28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228.82170519607874</v>
      </c>
      <c r="AD67" s="57">
        <v>0</v>
      </c>
      <c r="AE67" s="57">
        <v>0</v>
      </c>
      <c r="AF67" s="61">
        <f t="shared" si="57"/>
        <v>28</v>
      </c>
      <c r="AG67" s="40">
        <f t="shared" si="70"/>
        <v>0</v>
      </c>
      <c r="AH67" s="40">
        <f t="shared" si="71"/>
        <v>0</v>
      </c>
      <c r="AI67" s="44">
        <f t="shared" si="72"/>
        <v>6407.0077454902048</v>
      </c>
      <c r="AJ67" s="35">
        <f t="shared" si="58"/>
        <v>28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247.40432985743456</v>
      </c>
      <c r="AL67" s="57">
        <v>0</v>
      </c>
      <c r="AM67" s="57">
        <v>0</v>
      </c>
      <c r="AN67" s="61">
        <f t="shared" si="59"/>
        <v>28</v>
      </c>
      <c r="AO67" s="40">
        <f t="shared" si="73"/>
        <v>0</v>
      </c>
      <c r="AP67" s="40">
        <f t="shared" si="74"/>
        <v>0</v>
      </c>
      <c r="AQ67" s="44">
        <f t="shared" si="75"/>
        <v>6927.3212360081679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146</v>
      </c>
      <c r="G68" s="35">
        <f>SUMIFS(WORKING!$AC$3:$AC$6802,WORKING!$A$3:$A$6802,Results!$D$3,WORKING!$B$3:$B$6802,Results!A68,WORKING!$C$3:$C$6802,Results!C68)/1000</f>
        <v>28438.891530000001</v>
      </c>
      <c r="H68" s="35">
        <f t="shared" si="60"/>
        <v>194.78692828767123</v>
      </c>
      <c r="I68" s="187">
        <v>147</v>
      </c>
      <c r="J68" s="212">
        <v>28697</v>
      </c>
      <c r="K68" s="217">
        <f t="shared" si="61"/>
        <v>195.21768707482994</v>
      </c>
      <c r="L68" s="34">
        <f t="shared" si="54"/>
        <v>147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212.01365112529993</v>
      </c>
      <c r="N68" s="57">
        <v>0</v>
      </c>
      <c r="O68" s="57">
        <v>0</v>
      </c>
      <c r="P68" s="61">
        <f t="shared" si="55"/>
        <v>147</v>
      </c>
      <c r="Q68" s="40">
        <f t="shared" si="62"/>
        <v>0</v>
      </c>
      <c r="R68" s="40">
        <f t="shared" si="63"/>
        <v>0</v>
      </c>
      <c r="S68" s="44">
        <f t="shared" si="64"/>
        <v>31166.006715419091</v>
      </c>
      <c r="T68" s="35">
        <f t="shared" si="65"/>
        <v>147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229.88853441469294</v>
      </c>
      <c r="V68" s="57">
        <v>0</v>
      </c>
      <c r="W68" s="57">
        <v>0</v>
      </c>
      <c r="X68" s="61">
        <f t="shared" si="56"/>
        <v>147</v>
      </c>
      <c r="Y68" s="40">
        <f t="shared" si="66"/>
        <v>0</v>
      </c>
      <c r="Z68" s="40">
        <f t="shared" si="67"/>
        <v>0</v>
      </c>
      <c r="AA68" s="44">
        <f t="shared" si="68"/>
        <v>33793.61455895986</v>
      </c>
      <c r="AB68" s="35">
        <f t="shared" si="69"/>
        <v>147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249.03756407103643</v>
      </c>
      <c r="AD68" s="57">
        <v>0</v>
      </c>
      <c r="AE68" s="57">
        <v>0</v>
      </c>
      <c r="AF68" s="61">
        <f t="shared" si="57"/>
        <v>147</v>
      </c>
      <c r="AG68" s="40">
        <f t="shared" si="70"/>
        <v>0</v>
      </c>
      <c r="AH68" s="40">
        <f t="shared" si="71"/>
        <v>0</v>
      </c>
      <c r="AI68" s="44">
        <f t="shared" si="72"/>
        <v>36608.521918442355</v>
      </c>
      <c r="AJ68" s="35">
        <f t="shared" si="58"/>
        <v>147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269.27708121314038</v>
      </c>
      <c r="AL68" s="57">
        <v>0</v>
      </c>
      <c r="AM68" s="57">
        <v>0</v>
      </c>
      <c r="AN68" s="61">
        <f t="shared" si="59"/>
        <v>147</v>
      </c>
      <c r="AO68" s="40">
        <f t="shared" si="73"/>
        <v>0</v>
      </c>
      <c r="AP68" s="40">
        <f t="shared" si="74"/>
        <v>0</v>
      </c>
      <c r="AQ68" s="44">
        <f t="shared" si="75"/>
        <v>39583.730938331639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143</v>
      </c>
      <c r="G69" s="35">
        <f>SUMIFS(WORKING!$AC$3:$AC$6802,WORKING!$A$3:$A$6802,Results!$D$3,WORKING!$B$3:$B$6802,Results!A69,WORKING!$C$3:$C$6802,Results!C69)/1000</f>
        <v>38116.087680000004</v>
      </c>
      <c r="H69" s="35">
        <f t="shared" si="60"/>
        <v>266.5460676923077</v>
      </c>
      <c r="I69" s="187">
        <v>143</v>
      </c>
      <c r="J69" s="212">
        <v>38461</v>
      </c>
      <c r="K69" s="217">
        <f t="shared" si="61"/>
        <v>268.95804195804197</v>
      </c>
      <c r="L69" s="34">
        <f t="shared" si="54"/>
        <v>143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292.48248090369333</v>
      </c>
      <c r="N69" s="57">
        <v>0</v>
      </c>
      <c r="O69" s="57">
        <v>0</v>
      </c>
      <c r="P69" s="61">
        <f t="shared" si="55"/>
        <v>143</v>
      </c>
      <c r="Q69" s="40">
        <f t="shared" si="62"/>
        <v>0</v>
      </c>
      <c r="R69" s="40">
        <f t="shared" si="63"/>
        <v>0</v>
      </c>
      <c r="S69" s="44">
        <f t="shared" si="64"/>
        <v>41824.994769228149</v>
      </c>
      <c r="T69" s="35">
        <f t="shared" si="65"/>
        <v>143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317.25975545187316</v>
      </c>
      <c r="V69" s="57">
        <v>0</v>
      </c>
      <c r="W69" s="57">
        <v>0</v>
      </c>
      <c r="X69" s="61">
        <f t="shared" si="56"/>
        <v>143</v>
      </c>
      <c r="Y69" s="40">
        <f t="shared" si="66"/>
        <v>0</v>
      </c>
      <c r="Z69" s="40">
        <f t="shared" si="67"/>
        <v>0</v>
      </c>
      <c r="AA69" s="44">
        <f t="shared" si="68"/>
        <v>45368.145029617859</v>
      </c>
      <c r="AB69" s="35">
        <f t="shared" si="69"/>
        <v>143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343.81451978118031</v>
      </c>
      <c r="AD69" s="57">
        <v>0</v>
      </c>
      <c r="AE69" s="57">
        <v>0</v>
      </c>
      <c r="AF69" s="61">
        <f t="shared" si="57"/>
        <v>143</v>
      </c>
      <c r="AG69" s="40">
        <f t="shared" si="70"/>
        <v>0</v>
      </c>
      <c r="AH69" s="40">
        <f t="shared" si="71"/>
        <v>0</v>
      </c>
      <c r="AI69" s="44">
        <f t="shared" si="72"/>
        <v>49165.476328708784</v>
      </c>
      <c r="AJ69" s="35">
        <f t="shared" si="58"/>
        <v>143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371.89514145344049</v>
      </c>
      <c r="AL69" s="57">
        <v>0</v>
      </c>
      <c r="AM69" s="57">
        <v>0</v>
      </c>
      <c r="AN69" s="61">
        <f t="shared" si="59"/>
        <v>143</v>
      </c>
      <c r="AO69" s="40">
        <f t="shared" si="73"/>
        <v>0</v>
      </c>
      <c r="AP69" s="40">
        <f t="shared" si="74"/>
        <v>0</v>
      </c>
      <c r="AQ69" s="44">
        <f t="shared" si="75"/>
        <v>53181.00522784199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175</v>
      </c>
      <c r="G70" s="35">
        <f>SUMIFS(WORKING!$AC$3:$AC$6802,WORKING!$A$3:$A$6802,Results!$D$3,WORKING!$B$3:$B$6802,Results!A70,WORKING!$C$3:$C$6802,Results!C70)/1000</f>
        <v>49203.961240000011</v>
      </c>
      <c r="H70" s="35">
        <f t="shared" si="60"/>
        <v>281.16549280000004</v>
      </c>
      <c r="I70" s="187">
        <v>175</v>
      </c>
      <c r="J70" s="212">
        <v>49650</v>
      </c>
      <c r="K70" s="217">
        <f t="shared" si="61"/>
        <v>283.71428571428572</v>
      </c>
      <c r="L70" s="34">
        <f t="shared" si="54"/>
        <v>175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308.71163871946754</v>
      </c>
      <c r="N70" s="57">
        <v>0</v>
      </c>
      <c r="O70" s="57">
        <v>0</v>
      </c>
      <c r="P70" s="61">
        <f t="shared" si="55"/>
        <v>175</v>
      </c>
      <c r="Q70" s="40">
        <f t="shared" si="62"/>
        <v>0</v>
      </c>
      <c r="R70" s="40">
        <f t="shared" si="63"/>
        <v>0</v>
      </c>
      <c r="S70" s="44">
        <f t="shared" si="64"/>
        <v>54024.536775906818</v>
      </c>
      <c r="T70" s="35">
        <f t="shared" si="65"/>
        <v>175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334.92098409280277</v>
      </c>
      <c r="V70" s="57">
        <v>0</v>
      </c>
      <c r="W70" s="57">
        <v>0</v>
      </c>
      <c r="X70" s="61">
        <f t="shared" si="56"/>
        <v>175</v>
      </c>
      <c r="Y70" s="40">
        <f t="shared" si="66"/>
        <v>0</v>
      </c>
      <c r="Z70" s="40">
        <f t="shared" si="67"/>
        <v>0</v>
      </c>
      <c r="AA70" s="44">
        <f t="shared" si="68"/>
        <v>58611.172216240484</v>
      </c>
      <c r="AB70" s="35">
        <f t="shared" si="69"/>
        <v>175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363.01599770972263</v>
      </c>
      <c r="AD70" s="57">
        <v>0</v>
      </c>
      <c r="AE70" s="57">
        <v>0</v>
      </c>
      <c r="AF70" s="61">
        <f t="shared" si="57"/>
        <v>175</v>
      </c>
      <c r="AG70" s="40">
        <f t="shared" si="70"/>
        <v>0</v>
      </c>
      <c r="AH70" s="40">
        <f t="shared" si="71"/>
        <v>0</v>
      </c>
      <c r="AI70" s="44">
        <f t="shared" si="72"/>
        <v>63527.799599201462</v>
      </c>
      <c r="AJ70" s="35">
        <f t="shared" si="58"/>
        <v>175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392.7318562603599</v>
      </c>
      <c r="AL70" s="57">
        <v>0</v>
      </c>
      <c r="AM70" s="57">
        <v>0</v>
      </c>
      <c r="AN70" s="61">
        <f t="shared" si="59"/>
        <v>175</v>
      </c>
      <c r="AO70" s="40">
        <f t="shared" si="73"/>
        <v>0</v>
      </c>
      <c r="AP70" s="40">
        <f t="shared" si="74"/>
        <v>0</v>
      </c>
      <c r="AQ70" s="44">
        <f t="shared" si="75"/>
        <v>68728.07484556298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136</v>
      </c>
      <c r="G71" s="35">
        <f>SUMIFS(WORKING!$AC$3:$AC$6802,WORKING!$A$3:$A$6802,Results!$D$3,WORKING!$B$3:$B$6802,Results!A71,WORKING!$C$3:$C$6802,Results!C71)/1000</f>
        <v>48502.57261000001</v>
      </c>
      <c r="H71" s="35">
        <f>IFERROR(G71/F71,0)</f>
        <v>356.63656330882361</v>
      </c>
      <c r="I71" s="187">
        <v>136</v>
      </c>
      <c r="J71" s="212">
        <v>48944</v>
      </c>
      <c r="K71" s="217">
        <f t="shared" si="61"/>
        <v>359.88235294117646</v>
      </c>
      <c r="L71" s="34">
        <f t="shared" si="54"/>
        <v>136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391.93139622231405</v>
      </c>
      <c r="N71" s="57">
        <v>0</v>
      </c>
      <c r="O71" s="57">
        <v>0</v>
      </c>
      <c r="P71" s="61">
        <f t="shared" si="55"/>
        <v>136</v>
      </c>
      <c r="Q71" s="40">
        <f t="shared" si="62"/>
        <v>0</v>
      </c>
      <c r="R71" s="40">
        <f t="shared" si="63"/>
        <v>0</v>
      </c>
      <c r="S71" s="44">
        <f t="shared" si="64"/>
        <v>53302.669886234711</v>
      </c>
      <c r="T71" s="35">
        <f t="shared" si="65"/>
        <v>136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425.31154016213713</v>
      </c>
      <c r="V71" s="57">
        <v>0</v>
      </c>
      <c r="W71" s="57">
        <v>0</v>
      </c>
      <c r="X71" s="61">
        <f t="shared" si="56"/>
        <v>136</v>
      </c>
      <c r="Y71" s="40">
        <f t="shared" si="66"/>
        <v>0</v>
      </c>
      <c r="Z71" s="40">
        <f t="shared" si="67"/>
        <v>0</v>
      </c>
      <c r="AA71" s="44">
        <f t="shared" si="68"/>
        <v>57842.36946205065</v>
      </c>
      <c r="AB71" s="35">
        <f t="shared" si="69"/>
        <v>136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461.10339691638927</v>
      </c>
      <c r="AD71" s="57">
        <v>0</v>
      </c>
      <c r="AE71" s="57">
        <v>0</v>
      </c>
      <c r="AF71" s="61">
        <f t="shared" si="57"/>
        <v>136</v>
      </c>
      <c r="AG71" s="40">
        <f t="shared" si="70"/>
        <v>0</v>
      </c>
      <c r="AH71" s="40">
        <f t="shared" si="71"/>
        <v>0</v>
      </c>
      <c r="AI71" s="44">
        <f t="shared" si="72"/>
        <v>62710.06198062894</v>
      </c>
      <c r="AJ71" s="35">
        <f t="shared" si="58"/>
        <v>136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498.97228278160287</v>
      </c>
      <c r="AL71" s="57">
        <v>0</v>
      </c>
      <c r="AM71" s="57">
        <v>0</v>
      </c>
      <c r="AN71" s="61">
        <f t="shared" si="59"/>
        <v>136</v>
      </c>
      <c r="AO71" s="40">
        <f t="shared" si="73"/>
        <v>0</v>
      </c>
      <c r="AP71" s="40">
        <f t="shared" si="74"/>
        <v>0</v>
      </c>
      <c r="AQ71" s="44">
        <f t="shared" si="75"/>
        <v>67860.230458297985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85</v>
      </c>
      <c r="G72" s="35">
        <f>SUMIFS(WORKING!$AC$3:$AC$6802,WORKING!$A$3:$A$6802,Results!$D$3,WORKING!$B$3:$B$6802,Results!A72,WORKING!$C$3:$C$6802,Results!C72)/1000</f>
        <v>34690.781990000003</v>
      </c>
      <c r="H72" s="35">
        <f t="shared" si="60"/>
        <v>408.1268469411765</v>
      </c>
      <c r="I72" s="187">
        <v>86</v>
      </c>
      <c r="J72" s="212">
        <v>35005</v>
      </c>
      <c r="K72" s="217">
        <f>IFERROR(IF(J72="",G72,J72)/IF(I72="",F72,I72),"")</f>
        <v>407.03488372093022</v>
      </c>
      <c r="L72" s="34">
        <f t="shared" si="54"/>
        <v>86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443.39954494420681</v>
      </c>
      <c r="N72" s="57">
        <v>0</v>
      </c>
      <c r="O72" s="57">
        <v>0</v>
      </c>
      <c r="P72" s="61">
        <f t="shared" si="55"/>
        <v>86</v>
      </c>
      <c r="Q72" s="40">
        <f t="shared" si="62"/>
        <v>0</v>
      </c>
      <c r="R72" s="40">
        <f t="shared" si="63"/>
        <v>0</v>
      </c>
      <c r="S72" s="44">
        <f t="shared" si="64"/>
        <v>38132.360865201787</v>
      </c>
      <c r="T72" s="35">
        <f t="shared" si="65"/>
        <v>86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481.19932607830702</v>
      </c>
      <c r="V72" s="57">
        <v>0</v>
      </c>
      <c r="W72" s="57">
        <v>0</v>
      </c>
      <c r="X72" s="61">
        <f t="shared" si="56"/>
        <v>86</v>
      </c>
      <c r="Y72" s="40">
        <f t="shared" si="66"/>
        <v>0</v>
      </c>
      <c r="Z72" s="40">
        <f t="shared" si="67"/>
        <v>0</v>
      </c>
      <c r="AA72" s="44">
        <f t="shared" si="68"/>
        <v>41383.142042734406</v>
      </c>
      <c r="AB72" s="35">
        <f t="shared" si="69"/>
        <v>86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521.73361228838303</v>
      </c>
      <c r="AD72" s="57">
        <v>0</v>
      </c>
      <c r="AE72" s="57">
        <v>0</v>
      </c>
      <c r="AF72" s="61">
        <f t="shared" si="57"/>
        <v>86</v>
      </c>
      <c r="AG72" s="40">
        <f t="shared" si="70"/>
        <v>0</v>
      </c>
      <c r="AH72" s="40">
        <f t="shared" si="71"/>
        <v>0</v>
      </c>
      <c r="AI72" s="44">
        <f t="shared" si="72"/>
        <v>44869.090656800938</v>
      </c>
      <c r="AJ72" s="35">
        <f t="shared" si="58"/>
        <v>86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564.62429408328239</v>
      </c>
      <c r="AL72" s="57">
        <v>0</v>
      </c>
      <c r="AM72" s="57">
        <v>0</v>
      </c>
      <c r="AN72" s="61">
        <f t="shared" si="59"/>
        <v>86</v>
      </c>
      <c r="AO72" s="40">
        <f t="shared" si="73"/>
        <v>0</v>
      </c>
      <c r="AP72" s="40">
        <f t="shared" si="74"/>
        <v>0</v>
      </c>
      <c r="AQ72" s="44">
        <f t="shared" si="75"/>
        <v>48557.689291162285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36</v>
      </c>
      <c r="G73" s="35">
        <f>SUMIFS(WORKING!$AC$3:$AC$6802,WORKING!$A$3:$A$6802,Results!$D$3,WORKING!$B$3:$B$6802,Results!A73,WORKING!$C$3:$C$6802,Results!C73)/1000</f>
        <v>18831.170910000001</v>
      </c>
      <c r="H73" s="35">
        <f t="shared" si="60"/>
        <v>523.08808083333338</v>
      </c>
      <c r="I73" s="187">
        <v>36</v>
      </c>
      <c r="J73" s="212">
        <v>19001</v>
      </c>
      <c r="K73" s="217">
        <f t="shared" si="61"/>
        <v>527.80555555555554</v>
      </c>
      <c r="L73" s="34">
        <f t="shared" si="54"/>
        <v>36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575.33630514928336</v>
      </c>
      <c r="N73" s="57">
        <v>0</v>
      </c>
      <c r="O73" s="57">
        <v>0</v>
      </c>
      <c r="P73" s="61">
        <f t="shared" si="55"/>
        <v>36</v>
      </c>
      <c r="Q73" s="40">
        <f t="shared" si="62"/>
        <v>0</v>
      </c>
      <c r="R73" s="40">
        <f t="shared" si="63"/>
        <v>0</v>
      </c>
      <c r="S73" s="44">
        <f t="shared" si="64"/>
        <v>20712.106985374201</v>
      </c>
      <c r="T73" s="35">
        <f t="shared" si="65"/>
        <v>36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624.50075497335536</v>
      </c>
      <c r="V73" s="57">
        <v>0</v>
      </c>
      <c r="W73" s="57">
        <v>0</v>
      </c>
      <c r="X73" s="61">
        <f t="shared" si="56"/>
        <v>36</v>
      </c>
      <c r="Y73" s="40">
        <f t="shared" si="66"/>
        <v>0</v>
      </c>
      <c r="Z73" s="40">
        <f t="shared" si="67"/>
        <v>0</v>
      </c>
      <c r="AA73" s="44">
        <f t="shared" si="68"/>
        <v>22482.027179040793</v>
      </c>
      <c r="AB73" s="35">
        <f t="shared" si="69"/>
        <v>36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677.23309423677733</v>
      </c>
      <c r="AD73" s="57">
        <v>0</v>
      </c>
      <c r="AE73" s="57">
        <v>0</v>
      </c>
      <c r="AF73" s="61">
        <f t="shared" si="57"/>
        <v>36</v>
      </c>
      <c r="AG73" s="40">
        <f t="shared" si="70"/>
        <v>0</v>
      </c>
      <c r="AH73" s="40">
        <f t="shared" si="71"/>
        <v>0</v>
      </c>
      <c r="AI73" s="44">
        <f t="shared" si="72"/>
        <v>24380.391392523983</v>
      </c>
      <c r="AJ73" s="35">
        <f t="shared" si="58"/>
        <v>36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733.04438434360748</v>
      </c>
      <c r="AL73" s="57">
        <v>0</v>
      </c>
      <c r="AM73" s="57">
        <v>0</v>
      </c>
      <c r="AN73" s="61">
        <f t="shared" si="59"/>
        <v>36</v>
      </c>
      <c r="AO73" s="40">
        <f t="shared" si="73"/>
        <v>0</v>
      </c>
      <c r="AP73" s="40">
        <f t="shared" si="74"/>
        <v>0</v>
      </c>
      <c r="AQ73" s="44">
        <f t="shared" si="75"/>
        <v>26389.59783636987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69</v>
      </c>
      <c r="G74" s="35">
        <f>SUMIFS(WORKING!$AC$3:$AC$6802,WORKING!$A$3:$A$6802,Results!$D$3,WORKING!$B$3:$B$6802,Results!A74,WORKING!$C$3:$C$6802,Results!C74)/1000</f>
        <v>44216.970549999955</v>
      </c>
      <c r="H74" s="35">
        <f t="shared" si="60"/>
        <v>640.82566014492693</v>
      </c>
      <c r="I74" s="187">
        <v>69</v>
      </c>
      <c r="J74" s="212">
        <v>44617</v>
      </c>
      <c r="K74" s="217">
        <f t="shared" si="61"/>
        <v>646.62318840579712</v>
      </c>
      <c r="L74" s="34">
        <f t="shared" si="54"/>
        <v>69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705.96084884831816</v>
      </c>
      <c r="N74" s="57">
        <v>0</v>
      </c>
      <c r="O74" s="57">
        <v>0</v>
      </c>
      <c r="P74" s="61">
        <f t="shared" si="55"/>
        <v>69</v>
      </c>
      <c r="Q74" s="40">
        <f t="shared" si="62"/>
        <v>0</v>
      </c>
      <c r="R74" s="40">
        <f t="shared" si="63"/>
        <v>0</v>
      </c>
      <c r="S74" s="44">
        <f t="shared" si="64"/>
        <v>48711.298570533952</v>
      </c>
      <c r="T74" s="35">
        <f t="shared" si="65"/>
        <v>69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766.44582864569577</v>
      </c>
      <c r="V74" s="57">
        <v>0</v>
      </c>
      <c r="W74" s="57">
        <v>0</v>
      </c>
      <c r="X74" s="61">
        <f t="shared" si="56"/>
        <v>69</v>
      </c>
      <c r="Y74" s="40">
        <f t="shared" si="66"/>
        <v>0</v>
      </c>
      <c r="Z74" s="40">
        <f t="shared" si="67"/>
        <v>0</v>
      </c>
      <c r="AA74" s="44">
        <f t="shared" si="68"/>
        <v>52884.762176553006</v>
      </c>
      <c r="AB74" s="35">
        <f t="shared" si="69"/>
        <v>69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831.33533623002097</v>
      </c>
      <c r="AD74" s="57">
        <v>0</v>
      </c>
      <c r="AE74" s="57">
        <v>0</v>
      </c>
      <c r="AF74" s="61">
        <f t="shared" si="57"/>
        <v>69</v>
      </c>
      <c r="AG74" s="40">
        <f t="shared" si="70"/>
        <v>0</v>
      </c>
      <c r="AH74" s="40">
        <f t="shared" si="71"/>
        <v>0</v>
      </c>
      <c r="AI74" s="44">
        <f t="shared" si="72"/>
        <v>57362.13819987145</v>
      </c>
      <c r="AJ74" s="35">
        <f t="shared" si="58"/>
        <v>69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900.0315441528503</v>
      </c>
      <c r="AL74" s="57">
        <v>0</v>
      </c>
      <c r="AM74" s="57">
        <v>0</v>
      </c>
      <c r="AN74" s="61">
        <f t="shared" si="59"/>
        <v>69</v>
      </c>
      <c r="AO74" s="40">
        <f t="shared" si="73"/>
        <v>0</v>
      </c>
      <c r="AP74" s="40">
        <f t="shared" si="74"/>
        <v>0</v>
      </c>
      <c r="AQ74" s="44">
        <f t="shared" si="75"/>
        <v>62102.176546546674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42</v>
      </c>
      <c r="G75" s="35">
        <f>SUMIFS(WORKING!$AC$3:$AC$6802,WORKING!$A$3:$A$6802,Results!$D$3,WORKING!$B$3:$B$6802,Results!A75,WORKING!$C$3:$C$6802,Results!C75)/1000</f>
        <v>33720.498020000006</v>
      </c>
      <c r="H75" s="35">
        <f t="shared" si="60"/>
        <v>802.86900047619065</v>
      </c>
      <c r="I75" s="187">
        <v>42</v>
      </c>
      <c r="J75" s="212">
        <v>34025</v>
      </c>
      <c r="K75" s="217">
        <f t="shared" si="61"/>
        <v>810.11904761904759</v>
      </c>
      <c r="L75" s="34">
        <f t="shared" si="54"/>
        <v>42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884.41183655947088</v>
      </c>
      <c r="N75" s="57">
        <v>0</v>
      </c>
      <c r="O75" s="57">
        <v>0</v>
      </c>
      <c r="P75" s="61">
        <f t="shared" si="55"/>
        <v>42</v>
      </c>
      <c r="Q75" s="40">
        <f t="shared" si="62"/>
        <v>0</v>
      </c>
      <c r="R75" s="40">
        <f t="shared" si="63"/>
        <v>0</v>
      </c>
      <c r="S75" s="44">
        <f t="shared" si="64"/>
        <v>37145.297135497778</v>
      </c>
      <c r="T75" s="35">
        <f t="shared" si="65"/>
        <v>42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960.13379324992127</v>
      </c>
      <c r="V75" s="57">
        <v>0</v>
      </c>
      <c r="W75" s="57">
        <v>0</v>
      </c>
      <c r="X75" s="61">
        <f t="shared" si="56"/>
        <v>42</v>
      </c>
      <c r="Y75" s="40">
        <f t="shared" si="66"/>
        <v>0</v>
      </c>
      <c r="Z75" s="40">
        <f t="shared" si="67"/>
        <v>0</v>
      </c>
      <c r="AA75" s="44">
        <f t="shared" si="68"/>
        <v>40325.61931649669</v>
      </c>
      <c r="AB75" s="35">
        <f t="shared" si="69"/>
        <v>42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1041.3647967645668</v>
      </c>
      <c r="AD75" s="57">
        <v>0</v>
      </c>
      <c r="AE75" s="57">
        <v>0</v>
      </c>
      <c r="AF75" s="61">
        <f t="shared" si="57"/>
        <v>42</v>
      </c>
      <c r="AG75" s="40">
        <f t="shared" si="70"/>
        <v>0</v>
      </c>
      <c r="AH75" s="40">
        <f t="shared" si="71"/>
        <v>0</v>
      </c>
      <c r="AI75" s="44">
        <f t="shared" si="72"/>
        <v>43737.321464111803</v>
      </c>
      <c r="AJ75" s="35">
        <f t="shared" si="58"/>
        <v>42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1127.3551244033602</v>
      </c>
      <c r="AL75" s="57">
        <v>0</v>
      </c>
      <c r="AM75" s="57">
        <v>0</v>
      </c>
      <c r="AN75" s="61">
        <f t="shared" si="59"/>
        <v>42</v>
      </c>
      <c r="AO75" s="40">
        <f t="shared" si="73"/>
        <v>0</v>
      </c>
      <c r="AP75" s="40">
        <f t="shared" si="74"/>
        <v>0</v>
      </c>
      <c r="AQ75" s="44">
        <f t="shared" si="75"/>
        <v>47348.915224941127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23</v>
      </c>
      <c r="G76" s="35">
        <f>SUMIFS(WORKING!$AC$3:$AC$6802,WORKING!$A$3:$A$6802,Results!$D$3,WORKING!$B$3:$B$6802,Results!A76,WORKING!$C$3:$C$6802,Results!C76)/1000</f>
        <v>24730.642909999995</v>
      </c>
      <c r="H76" s="35">
        <f t="shared" si="60"/>
        <v>1075.2453439130434</v>
      </c>
      <c r="I76" s="187">
        <v>23</v>
      </c>
      <c r="J76" s="212">
        <v>24955</v>
      </c>
      <c r="K76" s="217">
        <f t="shared" si="61"/>
        <v>1085</v>
      </c>
      <c r="L76" s="34">
        <f t="shared" si="54"/>
        <v>23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1136.9272184171832</v>
      </c>
      <c r="N76" s="57">
        <v>0</v>
      </c>
      <c r="O76" s="57">
        <v>0</v>
      </c>
      <c r="P76" s="61">
        <f t="shared" si="55"/>
        <v>23</v>
      </c>
      <c r="Q76" s="40">
        <f t="shared" si="62"/>
        <v>0</v>
      </c>
      <c r="R76" s="40">
        <f t="shared" si="63"/>
        <v>0</v>
      </c>
      <c r="S76" s="44">
        <f t="shared" si="64"/>
        <v>26149.326023595215</v>
      </c>
      <c r="T76" s="35">
        <f t="shared" si="65"/>
        <v>23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1222.4782276814465</v>
      </c>
      <c r="V76" s="57">
        <v>0</v>
      </c>
      <c r="W76" s="57">
        <v>0</v>
      </c>
      <c r="X76" s="61">
        <f t="shared" si="56"/>
        <v>23</v>
      </c>
      <c r="Y76" s="40">
        <f t="shared" si="66"/>
        <v>0</v>
      </c>
      <c r="Z76" s="40">
        <f t="shared" si="67"/>
        <v>0</v>
      </c>
      <c r="AA76" s="44">
        <f t="shared" si="68"/>
        <v>28116.999236673269</v>
      </c>
      <c r="AB76" s="35">
        <f t="shared" si="69"/>
        <v>23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1313.2266794499201</v>
      </c>
      <c r="AD76" s="57">
        <v>0</v>
      </c>
      <c r="AE76" s="57">
        <v>0</v>
      </c>
      <c r="AF76" s="61">
        <f t="shared" si="57"/>
        <v>23</v>
      </c>
      <c r="AG76" s="40">
        <f t="shared" si="70"/>
        <v>0</v>
      </c>
      <c r="AH76" s="40">
        <f t="shared" si="71"/>
        <v>0</v>
      </c>
      <c r="AI76" s="44">
        <f t="shared" si="72"/>
        <v>30204.213627348163</v>
      </c>
      <c r="AJ76" s="35">
        <f t="shared" si="58"/>
        <v>23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1408.0474442029351</v>
      </c>
      <c r="AL76" s="57">
        <v>0</v>
      </c>
      <c r="AM76" s="57">
        <v>0</v>
      </c>
      <c r="AN76" s="61">
        <f t="shared" si="59"/>
        <v>23</v>
      </c>
      <c r="AO76" s="40">
        <f t="shared" si="73"/>
        <v>0</v>
      </c>
      <c r="AP76" s="40">
        <f t="shared" si="74"/>
        <v>0</v>
      </c>
      <c r="AQ76" s="44">
        <f t="shared" si="75"/>
        <v>32385.091216667508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19</v>
      </c>
      <c r="G77" s="35">
        <f>SUMIFS(WORKING!$AC$3:$AC$6802,WORKING!$A$3:$A$6802,Results!$D$3,WORKING!$B$3:$B$6802,Results!A77,WORKING!$C$3:$C$6802,Results!C77)/1000</f>
        <v>19544.96254</v>
      </c>
      <c r="H77" s="35">
        <f t="shared" si="60"/>
        <v>1028.6822389473684</v>
      </c>
      <c r="I77" s="187">
        <v>18</v>
      </c>
      <c r="J77" s="212">
        <v>19722</v>
      </c>
      <c r="K77" s="217">
        <f t="shared" si="61"/>
        <v>1095.6666666666667</v>
      </c>
      <c r="L77" s="34">
        <f t="shared" si="54"/>
        <v>18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1148.5432601545983</v>
      </c>
      <c r="N77" s="57">
        <v>0</v>
      </c>
      <c r="O77" s="57">
        <v>0</v>
      </c>
      <c r="P77" s="61">
        <f t="shared" si="55"/>
        <v>18</v>
      </c>
      <c r="Q77" s="40">
        <f t="shared" si="62"/>
        <v>0</v>
      </c>
      <c r="R77" s="40">
        <f t="shared" si="63"/>
        <v>0</v>
      </c>
      <c r="S77" s="44">
        <f t="shared" si="64"/>
        <v>20673.778682782769</v>
      </c>
      <c r="T77" s="35">
        <f t="shared" si="65"/>
        <v>18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1235.4404302142589</v>
      </c>
      <c r="V77" s="57">
        <v>0</v>
      </c>
      <c r="W77" s="57">
        <v>0</v>
      </c>
      <c r="X77" s="61">
        <f t="shared" si="56"/>
        <v>18</v>
      </c>
      <c r="Y77" s="40">
        <f t="shared" si="66"/>
        <v>0</v>
      </c>
      <c r="Z77" s="40">
        <f t="shared" si="67"/>
        <v>0</v>
      </c>
      <c r="AA77" s="44">
        <f t="shared" si="68"/>
        <v>22237.927743856661</v>
      </c>
      <c r="AB77" s="35">
        <f t="shared" si="69"/>
        <v>18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1327.658427445569</v>
      </c>
      <c r="AD77" s="57">
        <v>0</v>
      </c>
      <c r="AE77" s="57">
        <v>0</v>
      </c>
      <c r="AF77" s="61">
        <f t="shared" si="57"/>
        <v>18</v>
      </c>
      <c r="AG77" s="40">
        <f t="shared" si="70"/>
        <v>0</v>
      </c>
      <c r="AH77" s="40">
        <f t="shared" si="71"/>
        <v>0</v>
      </c>
      <c r="AI77" s="44">
        <f t="shared" si="72"/>
        <v>23897.851694020243</v>
      </c>
      <c r="AJ77" s="35">
        <f t="shared" si="58"/>
        <v>18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1424.0653866859484</v>
      </c>
      <c r="AL77" s="57">
        <v>0</v>
      </c>
      <c r="AM77" s="57">
        <v>0</v>
      </c>
      <c r="AN77" s="61">
        <f t="shared" si="59"/>
        <v>18</v>
      </c>
      <c r="AO77" s="40">
        <f t="shared" si="73"/>
        <v>0</v>
      </c>
      <c r="AP77" s="40">
        <f t="shared" si="74"/>
        <v>0</v>
      </c>
      <c r="AQ77" s="44">
        <f t="shared" si="75"/>
        <v>25633.176960347071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8</v>
      </c>
      <c r="G78" s="35">
        <f>SUMIFS(WORKING!$AC$3:$AC$6802,WORKING!$A$3:$A$6802,Results!$D$3,WORKING!$B$3:$B$6802,Results!A78,WORKING!$C$3:$C$6802,Results!C78)/1000</f>
        <v>10903.75546</v>
      </c>
      <c r="H78" s="35">
        <f t="shared" si="60"/>
        <v>1362.9694325</v>
      </c>
      <c r="I78" s="187">
        <v>6</v>
      </c>
      <c r="J78" s="212">
        <v>11002</v>
      </c>
      <c r="K78" s="217">
        <f t="shared" si="61"/>
        <v>1833.6666666666667</v>
      </c>
      <c r="L78" s="34">
        <f t="shared" si="54"/>
        <v>6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1922.5328708441864</v>
      </c>
      <c r="N78" s="57">
        <v>0</v>
      </c>
      <c r="O78" s="57">
        <v>0</v>
      </c>
      <c r="P78" s="61">
        <f t="shared" si="55"/>
        <v>6</v>
      </c>
      <c r="Q78" s="40">
        <f t="shared" si="62"/>
        <v>0</v>
      </c>
      <c r="R78" s="40">
        <f t="shared" si="63"/>
        <v>0</v>
      </c>
      <c r="S78" s="44">
        <f t="shared" si="64"/>
        <v>11535.197225065118</v>
      </c>
      <c r="T78" s="35">
        <f t="shared" si="65"/>
        <v>6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2068.3912954900429</v>
      </c>
      <c r="V78" s="57">
        <v>0</v>
      </c>
      <c r="W78" s="57">
        <v>0</v>
      </c>
      <c r="X78" s="61">
        <f t="shared" si="56"/>
        <v>6</v>
      </c>
      <c r="Y78" s="40">
        <f t="shared" si="66"/>
        <v>0</v>
      </c>
      <c r="Z78" s="40">
        <f t="shared" si="67"/>
        <v>0</v>
      </c>
      <c r="AA78" s="44">
        <f t="shared" si="68"/>
        <v>12410.347772940258</v>
      </c>
      <c r="AB78" s="35">
        <f t="shared" si="69"/>
        <v>6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2223.2163299780786</v>
      </c>
      <c r="AD78" s="57">
        <v>0</v>
      </c>
      <c r="AE78" s="57">
        <v>0</v>
      </c>
      <c r="AF78" s="61">
        <f t="shared" si="57"/>
        <v>6</v>
      </c>
      <c r="AG78" s="40">
        <f t="shared" si="70"/>
        <v>0</v>
      </c>
      <c r="AH78" s="40">
        <f t="shared" si="71"/>
        <v>0</v>
      </c>
      <c r="AI78" s="44">
        <f t="shared" si="72"/>
        <v>13339.297979868472</v>
      </c>
      <c r="AJ78" s="35">
        <f t="shared" si="58"/>
        <v>6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2385.1174691091715</v>
      </c>
      <c r="AL78" s="57">
        <v>0</v>
      </c>
      <c r="AM78" s="57">
        <v>0</v>
      </c>
      <c r="AN78" s="61">
        <f t="shared" si="59"/>
        <v>6</v>
      </c>
      <c r="AO78" s="40">
        <f t="shared" si="73"/>
        <v>0</v>
      </c>
      <c r="AP78" s="40">
        <f t="shared" si="74"/>
        <v>0</v>
      </c>
      <c r="AQ78" s="44">
        <f t="shared" si="75"/>
        <v>14310.70481465503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2</v>
      </c>
      <c r="G79" s="35">
        <f>SUMIFS(WORKING!$AC$3:$AC$6802,WORKING!$A$3:$A$6802,Results!$D$3,WORKING!$B$3:$B$6802,Results!A79,WORKING!$C$3:$C$6802,Results!C79)/1000</f>
        <v>5300.9496899999995</v>
      </c>
      <c r="H79" s="35">
        <f t="shared" si="60"/>
        <v>2650.4748449999997</v>
      </c>
      <c r="I79" s="187">
        <v>2</v>
      </c>
      <c r="J79" s="212">
        <v>5349</v>
      </c>
      <c r="K79" s="217">
        <f t="shared" si="61"/>
        <v>2674.5</v>
      </c>
      <c r="L79" s="34">
        <f t="shared" si="54"/>
        <v>2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2802.4765144640064</v>
      </c>
      <c r="N79" s="57">
        <v>0</v>
      </c>
      <c r="O79" s="57">
        <v>0</v>
      </c>
      <c r="P79" s="61">
        <f t="shared" si="55"/>
        <v>2</v>
      </c>
      <c r="Q79" s="40">
        <f t="shared" si="62"/>
        <v>0</v>
      </c>
      <c r="R79" s="40">
        <f t="shared" si="63"/>
        <v>0</v>
      </c>
      <c r="S79" s="44">
        <f t="shared" si="64"/>
        <v>5604.9530289280128</v>
      </c>
      <c r="T79" s="35">
        <f t="shared" si="65"/>
        <v>2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3013.3314551270651</v>
      </c>
      <c r="V79" s="57">
        <v>0</v>
      </c>
      <c r="W79" s="57">
        <v>0</v>
      </c>
      <c r="X79" s="61">
        <f t="shared" si="56"/>
        <v>2</v>
      </c>
      <c r="Y79" s="40">
        <f t="shared" si="66"/>
        <v>0</v>
      </c>
      <c r="Z79" s="40">
        <f t="shared" si="67"/>
        <v>0</v>
      </c>
      <c r="AA79" s="44">
        <f t="shared" si="68"/>
        <v>6026.6629102541301</v>
      </c>
      <c r="AB79" s="35">
        <f t="shared" si="69"/>
        <v>2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3236.994214533524</v>
      </c>
      <c r="AD79" s="57">
        <v>0</v>
      </c>
      <c r="AE79" s="57">
        <v>0</v>
      </c>
      <c r="AF79" s="61">
        <f t="shared" si="57"/>
        <v>2</v>
      </c>
      <c r="AG79" s="40">
        <f t="shared" si="70"/>
        <v>0</v>
      </c>
      <c r="AH79" s="40">
        <f t="shared" si="71"/>
        <v>0</v>
      </c>
      <c r="AI79" s="44">
        <f t="shared" si="72"/>
        <v>6473.9884290670479</v>
      </c>
      <c r="AJ79" s="35">
        <f t="shared" si="58"/>
        <v>2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3470.6911511506237</v>
      </c>
      <c r="AL79" s="57">
        <v>0</v>
      </c>
      <c r="AM79" s="57">
        <v>0</v>
      </c>
      <c r="AN79" s="61">
        <f t="shared" si="59"/>
        <v>2</v>
      </c>
      <c r="AO79" s="40">
        <f t="shared" si="73"/>
        <v>0</v>
      </c>
      <c r="AP79" s="40">
        <f t="shared" si="74"/>
        <v>0</v>
      </c>
      <c r="AQ79" s="44">
        <f t="shared" si="75"/>
        <v>6941.3823023012474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1024</v>
      </c>
      <c r="G84" s="41">
        <f>SUM(G64:G83)</f>
        <v>377087.85134999995</v>
      </c>
      <c r="H84" s="41">
        <f>IFERROR(G84/F84,0)</f>
        <v>368.24985483398433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1021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380503</v>
      </c>
      <c r="K84" s="41">
        <f>IFERROR(J84/I84,"")</f>
        <v>372.6767874632713</v>
      </c>
      <c r="L84" s="41">
        <f>SUM(L64:L83)</f>
        <v>1021</v>
      </c>
      <c r="M84" s="41">
        <f>IFERROR(S84/P84,0)</f>
        <v>403.37373908685765</v>
      </c>
      <c r="N84" s="41">
        <f t="shared" ref="N84:T84" si="98">SUM(N64:N83)</f>
        <v>0</v>
      </c>
      <c r="O84" s="41">
        <f t="shared" si="98"/>
        <v>0</v>
      </c>
      <c r="P84" s="41">
        <f t="shared" si="98"/>
        <v>1021</v>
      </c>
      <c r="Q84" s="41">
        <f t="shared" si="98"/>
        <v>0</v>
      </c>
      <c r="R84" s="41">
        <f t="shared" si="98"/>
        <v>0</v>
      </c>
      <c r="S84" s="45">
        <f t="shared" si="98"/>
        <v>411844.58760768169</v>
      </c>
      <c r="T84" s="41">
        <f t="shared" si="98"/>
        <v>1021</v>
      </c>
      <c r="U84" s="41">
        <f>IFERROR(AA84/X84,0)</f>
        <v>437.08549482991498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1021</v>
      </c>
      <c r="Y84" s="41">
        <f t="shared" si="99"/>
        <v>0</v>
      </c>
      <c r="Z84" s="41">
        <f t="shared" si="99"/>
        <v>0</v>
      </c>
      <c r="AA84" s="45">
        <f t="shared" si="99"/>
        <v>446264.29022134317</v>
      </c>
      <c r="AB84" s="41">
        <f t="shared" si="99"/>
        <v>1021</v>
      </c>
      <c r="AC84" s="41">
        <f>IFERROR(AI84/AF84,0)</f>
        <v>473.17644281298459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1021</v>
      </c>
      <c r="AG84" s="41">
        <f t="shared" si="100"/>
        <v>0</v>
      </c>
      <c r="AH84" s="41">
        <f t="shared" si="100"/>
        <v>0</v>
      </c>
      <c r="AI84" s="45">
        <f t="shared" si="100"/>
        <v>483113.14811205724</v>
      </c>
      <c r="AJ84" s="41">
        <f t="shared" si="100"/>
        <v>1021</v>
      </c>
      <c r="AK84" s="41">
        <f>IFERROR(AQ84/AN84,0)</f>
        <v>511.29324181516341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1021</v>
      </c>
      <c r="AO84" s="41">
        <f t="shared" si="101"/>
        <v>0</v>
      </c>
      <c r="AP84" s="41">
        <f t="shared" si="101"/>
        <v>0</v>
      </c>
      <c r="AQ84" s="45">
        <f t="shared" si="101"/>
        <v>522030.39989328186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434619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452102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466955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502443.58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22774.412392318307</v>
      </c>
      <c r="T86" s="39"/>
      <c r="U86" s="39"/>
      <c r="V86" s="53"/>
      <c r="W86" s="53"/>
      <c r="X86" s="110"/>
      <c r="Y86" s="39"/>
      <c r="Z86" s="39"/>
      <c r="AA86" s="54">
        <f>AA85-AA84</f>
        <v>5837.7097786568338</v>
      </c>
      <c r="AB86" s="39"/>
      <c r="AC86" s="53"/>
      <c r="AD86" s="53"/>
      <c r="AE86" s="110"/>
      <c r="AF86" s="39"/>
      <c r="AG86" s="39"/>
      <c r="AH86" s="39"/>
      <c r="AI86" s="54">
        <f>AI85-AI84</f>
        <v>-16158.148112057243</v>
      </c>
      <c r="AJ86" s="53"/>
      <c r="AK86" s="53"/>
      <c r="AL86" s="110"/>
      <c r="AM86" s="110"/>
      <c r="AN86" s="110"/>
      <c r="AO86" s="110"/>
      <c r="AP86" s="111"/>
      <c r="AQ86" s="54">
        <f>AQ85-AQ84</f>
        <v>-19586.819893281849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Agricultural Production, Health and Food Safety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12.5291</v>
      </c>
      <c r="H92" s="35">
        <f>IFERROR(G92/F92,0)</f>
        <v>0</v>
      </c>
      <c r="I92" s="156" t="s">
        <v>754</v>
      </c>
      <c r="J92" s="211">
        <v>12.573278161491222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256</v>
      </c>
      <c r="G93" s="35">
        <f>SUMIFS(WORKING!$AC$3:$AC$6802,WORKING!$A$3:$A$6802,Results!$D$3,WORKING!$B$3:$B$6802,Results!A93,WORKING!$C$3:$C$6802,Results!C93)/1000</f>
        <v>28875.78355</v>
      </c>
      <c r="H93" s="35">
        <f t="shared" ref="H93:H111" si="108">IFERROR(G93/F93,0)</f>
        <v>112.7960294921875</v>
      </c>
      <c r="I93" s="187">
        <v>256</v>
      </c>
      <c r="J93" s="212">
        <v>28977.600841653628</v>
      </c>
      <c r="K93" s="217">
        <f t="shared" ref="K93:K111" si="109">IFERROR(IF(J93="",G93,J93)/IF(I93="",F93,I93),"")</f>
        <v>113.19375328770948</v>
      </c>
      <c r="L93" s="34">
        <f t="shared" si="102"/>
        <v>256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122.7999133670926</v>
      </c>
      <c r="N93" s="57">
        <v>0</v>
      </c>
      <c r="O93" s="57">
        <v>0</v>
      </c>
      <c r="P93" s="61">
        <f t="shared" si="103"/>
        <v>256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31436.777821975706</v>
      </c>
      <c r="T93" s="35">
        <f t="shared" ref="T93:T111" si="113">P93</f>
        <v>256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133.11253996356265</v>
      </c>
      <c r="V93" s="57">
        <v>0</v>
      </c>
      <c r="W93" s="57">
        <v>0</v>
      </c>
      <c r="X93" s="61">
        <f t="shared" si="104"/>
        <v>256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34076.810230672039</v>
      </c>
      <c r="AB93" s="35">
        <f t="shared" ref="AB93:AB111" si="117">X93</f>
        <v>256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144.15638276679073</v>
      </c>
      <c r="AD93" s="57">
        <v>0</v>
      </c>
      <c r="AE93" s="57">
        <v>0</v>
      </c>
      <c r="AF93" s="61">
        <f t="shared" si="105"/>
        <v>256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36904.033988298426</v>
      </c>
      <c r="AJ93" s="35">
        <f t="shared" si="106"/>
        <v>256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155.82446099707872</v>
      </c>
      <c r="AL93" s="57">
        <v>0</v>
      </c>
      <c r="AM93" s="57">
        <v>0</v>
      </c>
      <c r="AN93" s="61">
        <f t="shared" si="107"/>
        <v>256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39891.062015252151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87</v>
      </c>
      <c r="G94" s="35">
        <f>SUMIFS(WORKING!$AC$3:$AC$6802,WORKING!$A$3:$A$6802,Results!$D$3,WORKING!$B$3:$B$6802,Results!A94,WORKING!$C$3:$C$6802,Results!C94)/1000</f>
        <v>13125.084339999999</v>
      </c>
      <c r="H94" s="35">
        <f t="shared" si="108"/>
        <v>150.8630383908046</v>
      </c>
      <c r="I94" s="187">
        <v>87</v>
      </c>
      <c r="J94" s="212">
        <v>13171.363968669133</v>
      </c>
      <c r="K94" s="217">
        <f t="shared" si="109"/>
        <v>151.39498814562222</v>
      </c>
      <c r="L94" s="34">
        <f t="shared" si="102"/>
        <v>87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164.32356486212402</v>
      </c>
      <c r="N94" s="57">
        <v>0</v>
      </c>
      <c r="O94" s="57">
        <v>0</v>
      </c>
      <c r="P94" s="61">
        <f t="shared" si="103"/>
        <v>87</v>
      </c>
      <c r="Q94" s="40">
        <f t="shared" si="110"/>
        <v>0</v>
      </c>
      <c r="R94" s="40">
        <f t="shared" si="111"/>
        <v>0</v>
      </c>
      <c r="S94" s="44">
        <f t="shared" si="112"/>
        <v>14296.15014300479</v>
      </c>
      <c r="T94" s="35">
        <f t="shared" si="113"/>
        <v>87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178.14794641983505</v>
      </c>
      <c r="V94" s="57">
        <v>0</v>
      </c>
      <c r="W94" s="57">
        <v>0</v>
      </c>
      <c r="X94" s="61">
        <f t="shared" si="104"/>
        <v>87</v>
      </c>
      <c r="Y94" s="40">
        <f t="shared" si="114"/>
        <v>0</v>
      </c>
      <c r="Z94" s="40">
        <f t="shared" si="115"/>
        <v>0</v>
      </c>
      <c r="AA94" s="44">
        <f t="shared" si="116"/>
        <v>15498.871338525649</v>
      </c>
      <c r="AB94" s="35">
        <f t="shared" si="117"/>
        <v>87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192.9549036895977</v>
      </c>
      <c r="AD94" s="57">
        <v>0</v>
      </c>
      <c r="AE94" s="57">
        <v>0</v>
      </c>
      <c r="AF94" s="61">
        <f t="shared" si="105"/>
        <v>87</v>
      </c>
      <c r="AG94" s="40">
        <f t="shared" si="118"/>
        <v>0</v>
      </c>
      <c r="AH94" s="40">
        <f t="shared" si="119"/>
        <v>0</v>
      </c>
      <c r="AI94" s="44">
        <f t="shared" si="120"/>
        <v>16787.076620995002</v>
      </c>
      <c r="AJ94" s="35">
        <f t="shared" si="106"/>
        <v>87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208.60164736429485</v>
      </c>
      <c r="AL94" s="57">
        <v>0</v>
      </c>
      <c r="AM94" s="57">
        <v>0</v>
      </c>
      <c r="AN94" s="61">
        <f t="shared" si="107"/>
        <v>87</v>
      </c>
      <c r="AO94" s="40">
        <f t="shared" si="121"/>
        <v>0</v>
      </c>
      <c r="AP94" s="40">
        <f t="shared" si="122"/>
        <v>0</v>
      </c>
      <c r="AQ94" s="44">
        <f t="shared" si="123"/>
        <v>18148.343320693653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25</v>
      </c>
      <c r="G95" s="35">
        <f>SUMIFS(WORKING!$AC$3:$AC$6802,WORKING!$A$3:$A$6802,Results!$D$3,WORKING!$B$3:$B$6802,Results!A95,WORKING!$C$3:$C$6802,Results!C95)/1000</f>
        <v>4556.4931200000001</v>
      </c>
      <c r="H95" s="35">
        <f t="shared" si="108"/>
        <v>182.25972480000001</v>
      </c>
      <c r="I95" s="187">
        <v>25</v>
      </c>
      <c r="J95" s="212">
        <v>4572.5595165399754</v>
      </c>
      <c r="K95" s="217">
        <f t="shared" si="109"/>
        <v>182.90238066159901</v>
      </c>
      <c r="L95" s="34">
        <f t="shared" si="102"/>
        <v>25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198.57058062457983</v>
      </c>
      <c r="N95" s="57">
        <v>0</v>
      </c>
      <c r="O95" s="57">
        <v>0</v>
      </c>
      <c r="P95" s="61">
        <f t="shared" si="103"/>
        <v>25</v>
      </c>
      <c r="Q95" s="40">
        <f t="shared" si="110"/>
        <v>0</v>
      </c>
      <c r="R95" s="40">
        <f t="shared" si="111"/>
        <v>0</v>
      </c>
      <c r="S95" s="44">
        <f t="shared" si="112"/>
        <v>4964.2645156144954</v>
      </c>
      <c r="T95" s="35">
        <f t="shared" si="113"/>
        <v>25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215.29013036473449</v>
      </c>
      <c r="V95" s="57">
        <v>0</v>
      </c>
      <c r="W95" s="57">
        <v>0</v>
      </c>
      <c r="X95" s="61">
        <f t="shared" si="104"/>
        <v>25</v>
      </c>
      <c r="Y95" s="40">
        <f t="shared" si="114"/>
        <v>0</v>
      </c>
      <c r="Z95" s="40">
        <f t="shared" si="115"/>
        <v>0</v>
      </c>
      <c r="AA95" s="44">
        <f t="shared" si="116"/>
        <v>5382.2532591183626</v>
      </c>
      <c r="AB95" s="35">
        <f t="shared" si="117"/>
        <v>25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233.19942445703185</v>
      </c>
      <c r="AD95" s="57">
        <v>0</v>
      </c>
      <c r="AE95" s="57">
        <v>0</v>
      </c>
      <c r="AF95" s="61">
        <f t="shared" si="105"/>
        <v>25</v>
      </c>
      <c r="AG95" s="40">
        <f t="shared" si="118"/>
        <v>0</v>
      </c>
      <c r="AH95" s="40">
        <f t="shared" si="119"/>
        <v>0</v>
      </c>
      <c r="AI95" s="44">
        <f t="shared" si="120"/>
        <v>5829.9856114257964</v>
      </c>
      <c r="AJ95" s="35">
        <f t="shared" si="106"/>
        <v>25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252.12619230824882</v>
      </c>
      <c r="AL95" s="57">
        <v>0</v>
      </c>
      <c r="AM95" s="57">
        <v>0</v>
      </c>
      <c r="AN95" s="61">
        <f t="shared" si="107"/>
        <v>25</v>
      </c>
      <c r="AO95" s="40">
        <f t="shared" si="121"/>
        <v>0</v>
      </c>
      <c r="AP95" s="40">
        <f t="shared" si="122"/>
        <v>0</v>
      </c>
      <c r="AQ95" s="44">
        <f t="shared" si="123"/>
        <v>6303.1548077062207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152</v>
      </c>
      <c r="G96" s="35">
        <f>SUMIFS(WORKING!$AC$3:$AC$6802,WORKING!$A$3:$A$6802,Results!$D$3,WORKING!$B$3:$B$6802,Results!A96,WORKING!$C$3:$C$6802,Results!C96)/1000</f>
        <v>30874.206740000005</v>
      </c>
      <c r="H96" s="35">
        <f t="shared" si="108"/>
        <v>203.11978118421055</v>
      </c>
      <c r="I96" s="187">
        <v>153</v>
      </c>
      <c r="J96" s="212">
        <v>30983.070560328131</v>
      </c>
      <c r="K96" s="217">
        <f t="shared" si="109"/>
        <v>202.50372915247144</v>
      </c>
      <c r="L96" s="34">
        <f t="shared" si="102"/>
        <v>153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219.95892597813182</v>
      </c>
      <c r="N96" s="57">
        <v>0</v>
      </c>
      <c r="O96" s="57">
        <v>0</v>
      </c>
      <c r="P96" s="61">
        <f t="shared" si="103"/>
        <v>153</v>
      </c>
      <c r="Q96" s="40">
        <f t="shared" si="110"/>
        <v>0</v>
      </c>
      <c r="R96" s="40">
        <f t="shared" si="111"/>
        <v>0</v>
      </c>
      <c r="S96" s="44">
        <f t="shared" si="112"/>
        <v>33653.715674654166</v>
      </c>
      <c r="T96" s="35">
        <f t="shared" si="113"/>
        <v>153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238.51282698007927</v>
      </c>
      <c r="V96" s="57">
        <v>0</v>
      </c>
      <c r="W96" s="57">
        <v>0</v>
      </c>
      <c r="X96" s="61">
        <f t="shared" si="104"/>
        <v>153</v>
      </c>
      <c r="Y96" s="40">
        <f t="shared" si="114"/>
        <v>0</v>
      </c>
      <c r="Z96" s="40">
        <f t="shared" si="115"/>
        <v>0</v>
      </c>
      <c r="AA96" s="44">
        <f t="shared" si="116"/>
        <v>36492.462527952128</v>
      </c>
      <c r="AB96" s="35">
        <f t="shared" si="117"/>
        <v>153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258.39018914017214</v>
      </c>
      <c r="AD96" s="57">
        <v>0</v>
      </c>
      <c r="AE96" s="57">
        <v>0</v>
      </c>
      <c r="AF96" s="61">
        <f t="shared" si="105"/>
        <v>153</v>
      </c>
      <c r="AG96" s="40">
        <f t="shared" si="118"/>
        <v>0</v>
      </c>
      <c r="AH96" s="40">
        <f t="shared" si="119"/>
        <v>0</v>
      </c>
      <c r="AI96" s="44">
        <f t="shared" si="120"/>
        <v>39533.698938446338</v>
      </c>
      <c r="AJ96" s="35">
        <f t="shared" si="106"/>
        <v>153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279.40065563956045</v>
      </c>
      <c r="AL96" s="57">
        <v>0</v>
      </c>
      <c r="AM96" s="57">
        <v>0</v>
      </c>
      <c r="AN96" s="61">
        <f t="shared" si="107"/>
        <v>153</v>
      </c>
      <c r="AO96" s="40">
        <f t="shared" si="121"/>
        <v>0</v>
      </c>
      <c r="AP96" s="40">
        <f t="shared" si="122"/>
        <v>0</v>
      </c>
      <c r="AQ96" s="44">
        <f t="shared" si="123"/>
        <v>42748.300312852749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44</v>
      </c>
      <c r="G97" s="35">
        <f>SUMIFS(WORKING!$AC$3:$AC$6802,WORKING!$A$3:$A$6802,Results!$D$3,WORKING!$B$3:$B$6802,Results!A97,WORKING!$C$3:$C$6802,Results!C97)/1000</f>
        <v>10559.389780000001</v>
      </c>
      <c r="H97" s="35">
        <f t="shared" si="108"/>
        <v>239.98613136363639</v>
      </c>
      <c r="I97" s="187">
        <v>45</v>
      </c>
      <c r="J97" s="212">
        <v>10596.622656020594</v>
      </c>
      <c r="K97" s="217">
        <f t="shared" si="109"/>
        <v>235.48050346712432</v>
      </c>
      <c r="L97" s="34">
        <f t="shared" si="102"/>
        <v>45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256.01990339219657</v>
      </c>
      <c r="N97" s="57">
        <v>0</v>
      </c>
      <c r="O97" s="57">
        <v>0</v>
      </c>
      <c r="P97" s="61">
        <f t="shared" si="103"/>
        <v>45</v>
      </c>
      <c r="Q97" s="40">
        <f t="shared" si="110"/>
        <v>0</v>
      </c>
      <c r="R97" s="40">
        <f t="shared" si="111"/>
        <v>0</v>
      </c>
      <c r="S97" s="44">
        <f t="shared" si="112"/>
        <v>11520.895652648845</v>
      </c>
      <c r="T97" s="35">
        <f t="shared" si="113"/>
        <v>45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277.69115648590372</v>
      </c>
      <c r="V97" s="57">
        <v>0</v>
      </c>
      <c r="W97" s="57">
        <v>0</v>
      </c>
      <c r="X97" s="61">
        <f t="shared" si="104"/>
        <v>45</v>
      </c>
      <c r="Y97" s="40">
        <f t="shared" si="114"/>
        <v>0</v>
      </c>
      <c r="Z97" s="40">
        <f t="shared" si="115"/>
        <v>0</v>
      </c>
      <c r="AA97" s="44">
        <f t="shared" si="116"/>
        <v>12496.102041865668</v>
      </c>
      <c r="AB97" s="35">
        <f t="shared" si="117"/>
        <v>45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300.9154180940784</v>
      </c>
      <c r="AD97" s="57">
        <v>0</v>
      </c>
      <c r="AE97" s="57">
        <v>0</v>
      </c>
      <c r="AF97" s="61">
        <f t="shared" si="105"/>
        <v>45</v>
      </c>
      <c r="AG97" s="40">
        <f t="shared" si="118"/>
        <v>0</v>
      </c>
      <c r="AH97" s="40">
        <f t="shared" si="119"/>
        <v>0</v>
      </c>
      <c r="AI97" s="44">
        <f t="shared" si="120"/>
        <v>13541.193814233528</v>
      </c>
      <c r="AJ97" s="35">
        <f t="shared" si="106"/>
        <v>45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325.47215119319213</v>
      </c>
      <c r="AL97" s="57">
        <v>0</v>
      </c>
      <c r="AM97" s="57">
        <v>0</v>
      </c>
      <c r="AN97" s="61">
        <f t="shared" si="107"/>
        <v>45</v>
      </c>
      <c r="AO97" s="40">
        <f t="shared" si="121"/>
        <v>0</v>
      </c>
      <c r="AP97" s="40">
        <f t="shared" si="122"/>
        <v>0</v>
      </c>
      <c r="AQ97" s="44">
        <f t="shared" si="123"/>
        <v>14646.246803693646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229</v>
      </c>
      <c r="G98" s="35">
        <f>SUMIFS(WORKING!$AC$3:$AC$6802,WORKING!$A$3:$A$6802,Results!$D$3,WORKING!$B$3:$B$6802,Results!A98,WORKING!$C$3:$C$6802,Results!C98)/1000</f>
        <v>66774.885250000021</v>
      </c>
      <c r="H98" s="35">
        <f t="shared" si="108"/>
        <v>291.59338537117912</v>
      </c>
      <c r="I98" s="187">
        <v>229</v>
      </c>
      <c r="J98" s="212">
        <v>67010.336452730655</v>
      </c>
      <c r="K98" s="217">
        <f t="shared" si="109"/>
        <v>292.62155656214259</v>
      </c>
      <c r="L98" s="34">
        <f t="shared" si="102"/>
        <v>229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318.42255101931175</v>
      </c>
      <c r="N98" s="57">
        <v>0</v>
      </c>
      <c r="O98" s="57">
        <v>0</v>
      </c>
      <c r="P98" s="61">
        <f t="shared" si="103"/>
        <v>229</v>
      </c>
      <c r="Q98" s="40">
        <f t="shared" si="110"/>
        <v>0</v>
      </c>
      <c r="R98" s="40">
        <f t="shared" si="111"/>
        <v>0</v>
      </c>
      <c r="S98" s="44">
        <f t="shared" si="112"/>
        <v>72918.76418342239</v>
      </c>
      <c r="T98" s="35">
        <f t="shared" si="113"/>
        <v>229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345.46220131875452</v>
      </c>
      <c r="V98" s="57">
        <v>0</v>
      </c>
      <c r="W98" s="57">
        <v>0</v>
      </c>
      <c r="X98" s="61">
        <f t="shared" si="104"/>
        <v>229</v>
      </c>
      <c r="Y98" s="40">
        <f t="shared" si="114"/>
        <v>0</v>
      </c>
      <c r="Z98" s="40">
        <f t="shared" si="115"/>
        <v>0</v>
      </c>
      <c r="AA98" s="44">
        <f t="shared" si="116"/>
        <v>79110.844101994793</v>
      </c>
      <c r="AB98" s="35">
        <f t="shared" si="117"/>
        <v>229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374.44781750239542</v>
      </c>
      <c r="AD98" s="57">
        <v>0</v>
      </c>
      <c r="AE98" s="57">
        <v>0</v>
      </c>
      <c r="AF98" s="61">
        <f t="shared" si="105"/>
        <v>229</v>
      </c>
      <c r="AG98" s="40">
        <f t="shared" si="118"/>
        <v>0</v>
      </c>
      <c r="AH98" s="40">
        <f t="shared" si="119"/>
        <v>0</v>
      </c>
      <c r="AI98" s="44">
        <f t="shared" si="120"/>
        <v>85748.550208048546</v>
      </c>
      <c r="AJ98" s="35">
        <f t="shared" si="106"/>
        <v>229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405.10632940779203</v>
      </c>
      <c r="AL98" s="57">
        <v>0</v>
      </c>
      <c r="AM98" s="57">
        <v>0</v>
      </c>
      <c r="AN98" s="61">
        <f t="shared" si="107"/>
        <v>229</v>
      </c>
      <c r="AO98" s="40">
        <f t="shared" si="121"/>
        <v>0</v>
      </c>
      <c r="AP98" s="40">
        <f t="shared" si="122"/>
        <v>0</v>
      </c>
      <c r="AQ98" s="44">
        <f t="shared" si="123"/>
        <v>92769.349434384378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228</v>
      </c>
      <c r="G99" s="35">
        <f>SUMIFS(WORKING!$AC$3:$AC$6802,WORKING!$A$3:$A$6802,Results!$D$3,WORKING!$B$3:$B$6802,Results!A99,WORKING!$C$3:$C$6802,Results!C99)/1000</f>
        <v>89842.146359999984</v>
      </c>
      <c r="H99" s="35">
        <f t="shared" si="108"/>
        <v>394.04450157894729</v>
      </c>
      <c r="I99" s="187">
        <v>229</v>
      </c>
      <c r="J99" s="212">
        <v>90158.933747011833</v>
      </c>
      <c r="K99" s="217">
        <f t="shared" si="109"/>
        <v>393.7071342664272</v>
      </c>
      <c r="L99" s="34">
        <f t="shared" si="102"/>
        <v>229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428.77464725753089</v>
      </c>
      <c r="N99" s="57">
        <v>0</v>
      </c>
      <c r="O99" s="57">
        <v>0</v>
      </c>
      <c r="P99" s="61">
        <f t="shared" si="103"/>
        <v>229</v>
      </c>
      <c r="Q99" s="40">
        <f t="shared" si="110"/>
        <v>0</v>
      </c>
      <c r="R99" s="40">
        <f t="shared" si="111"/>
        <v>0</v>
      </c>
      <c r="S99" s="44">
        <f t="shared" si="112"/>
        <v>98189.394221974566</v>
      </c>
      <c r="T99" s="35">
        <f t="shared" si="113"/>
        <v>229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465.29429274930527</v>
      </c>
      <c r="V99" s="57">
        <v>0</v>
      </c>
      <c r="W99" s="57">
        <v>0</v>
      </c>
      <c r="X99" s="61">
        <f t="shared" si="104"/>
        <v>229</v>
      </c>
      <c r="Y99" s="40">
        <f t="shared" si="114"/>
        <v>0</v>
      </c>
      <c r="Z99" s="40">
        <f t="shared" si="115"/>
        <v>0</v>
      </c>
      <c r="AA99" s="44">
        <f t="shared" si="116"/>
        <v>106552.39303959091</v>
      </c>
      <c r="AB99" s="35">
        <f t="shared" si="117"/>
        <v>229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504.45265243409875</v>
      </c>
      <c r="AD99" s="57">
        <v>0</v>
      </c>
      <c r="AE99" s="57">
        <v>0</v>
      </c>
      <c r="AF99" s="61">
        <f t="shared" si="105"/>
        <v>229</v>
      </c>
      <c r="AG99" s="40">
        <f t="shared" si="118"/>
        <v>0</v>
      </c>
      <c r="AH99" s="40">
        <f t="shared" si="119"/>
        <v>0</v>
      </c>
      <c r="AI99" s="44">
        <f t="shared" si="120"/>
        <v>115519.65740740861</v>
      </c>
      <c r="AJ99" s="35">
        <f t="shared" si="106"/>
        <v>229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545.88362696051058</v>
      </c>
      <c r="AL99" s="57">
        <v>0</v>
      </c>
      <c r="AM99" s="57">
        <v>0</v>
      </c>
      <c r="AN99" s="61">
        <f t="shared" si="107"/>
        <v>229</v>
      </c>
      <c r="AO99" s="40">
        <f t="shared" si="121"/>
        <v>0</v>
      </c>
      <c r="AP99" s="40">
        <f t="shared" si="122"/>
        <v>0</v>
      </c>
      <c r="AQ99" s="44">
        <f t="shared" si="123"/>
        <v>125007.35057395692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168</v>
      </c>
      <c r="G100" s="35">
        <f>SUMIFS(WORKING!$AC$3:$AC$6802,WORKING!$A$3:$A$6802,Results!$D$3,WORKING!$B$3:$B$6802,Results!A100,WORKING!$C$3:$C$6802,Results!C100)/1000</f>
        <v>70820.119779999979</v>
      </c>
      <c r="H100" s="35">
        <f t="shared" si="108"/>
        <v>421.54833202380939</v>
      </c>
      <c r="I100" s="187">
        <v>169</v>
      </c>
      <c r="J100" s="212">
        <v>71069.834658839522</v>
      </c>
      <c r="K100" s="217">
        <f t="shared" si="109"/>
        <v>420.53156602863623</v>
      </c>
      <c r="L100" s="34">
        <f t="shared" si="102"/>
        <v>169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458.1626232210308</v>
      </c>
      <c r="N100" s="57">
        <v>0</v>
      </c>
      <c r="O100" s="57">
        <v>0</v>
      </c>
      <c r="P100" s="61">
        <f t="shared" si="103"/>
        <v>169</v>
      </c>
      <c r="Q100" s="40">
        <f t="shared" si="110"/>
        <v>0</v>
      </c>
      <c r="R100" s="40">
        <f t="shared" si="111"/>
        <v>0</v>
      </c>
      <c r="S100" s="44">
        <f t="shared" si="112"/>
        <v>77429.483324354209</v>
      </c>
      <c r="T100" s="35">
        <f t="shared" si="113"/>
        <v>169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497.23948538972053</v>
      </c>
      <c r="V100" s="57">
        <v>0</v>
      </c>
      <c r="W100" s="57">
        <v>0</v>
      </c>
      <c r="X100" s="61">
        <f t="shared" si="104"/>
        <v>169</v>
      </c>
      <c r="Y100" s="40">
        <f t="shared" si="114"/>
        <v>0</v>
      </c>
      <c r="Z100" s="40">
        <f t="shared" si="115"/>
        <v>0</v>
      </c>
      <c r="AA100" s="44">
        <f t="shared" si="116"/>
        <v>84033.473030862762</v>
      </c>
      <c r="AB100" s="35">
        <f t="shared" si="117"/>
        <v>169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539.14503150377084</v>
      </c>
      <c r="AD100" s="57">
        <v>0</v>
      </c>
      <c r="AE100" s="57">
        <v>0</v>
      </c>
      <c r="AF100" s="61">
        <f t="shared" si="105"/>
        <v>169</v>
      </c>
      <c r="AG100" s="40">
        <f t="shared" si="118"/>
        <v>0</v>
      </c>
      <c r="AH100" s="40">
        <f t="shared" si="119"/>
        <v>0</v>
      </c>
      <c r="AI100" s="44">
        <f t="shared" si="120"/>
        <v>91115.510324137271</v>
      </c>
      <c r="AJ100" s="35">
        <f t="shared" si="106"/>
        <v>169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583.48884925278526</v>
      </c>
      <c r="AL100" s="57">
        <v>0</v>
      </c>
      <c r="AM100" s="57">
        <v>0</v>
      </c>
      <c r="AN100" s="61">
        <f t="shared" si="107"/>
        <v>169</v>
      </c>
      <c r="AO100" s="40">
        <f t="shared" si="121"/>
        <v>0</v>
      </c>
      <c r="AP100" s="40">
        <f t="shared" si="122"/>
        <v>0</v>
      </c>
      <c r="AQ100" s="44">
        <f t="shared" si="123"/>
        <v>98609.615523720713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70</v>
      </c>
      <c r="G101" s="35">
        <f>SUMIFS(WORKING!$AC$3:$AC$6802,WORKING!$A$3:$A$6802,Results!$D$3,WORKING!$B$3:$B$6802,Results!A101,WORKING!$C$3:$C$6802,Results!C101)/1000</f>
        <v>35229.590870000007</v>
      </c>
      <c r="H101" s="35">
        <f t="shared" si="108"/>
        <v>503.27986957142866</v>
      </c>
      <c r="I101" s="187">
        <v>70</v>
      </c>
      <c r="J101" s="212">
        <v>35353.811967662616</v>
      </c>
      <c r="K101" s="217">
        <f t="shared" si="109"/>
        <v>505.05445668089453</v>
      </c>
      <c r="L101" s="34">
        <f t="shared" si="102"/>
        <v>70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550.56070552552308</v>
      </c>
      <c r="N101" s="57">
        <v>0</v>
      </c>
      <c r="O101" s="57">
        <v>0</v>
      </c>
      <c r="P101" s="61">
        <f t="shared" si="103"/>
        <v>70</v>
      </c>
      <c r="Q101" s="40">
        <f t="shared" si="110"/>
        <v>0</v>
      </c>
      <c r="R101" s="40">
        <f t="shared" si="111"/>
        <v>0</v>
      </c>
      <c r="S101" s="44">
        <f t="shared" si="112"/>
        <v>38539.249386786614</v>
      </c>
      <c r="T101" s="35">
        <f t="shared" si="113"/>
        <v>70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597.6152534590027</v>
      </c>
      <c r="V101" s="57">
        <v>0</v>
      </c>
      <c r="W101" s="57">
        <v>0</v>
      </c>
      <c r="X101" s="61">
        <f t="shared" si="104"/>
        <v>70</v>
      </c>
      <c r="Y101" s="40">
        <f t="shared" si="114"/>
        <v>0</v>
      </c>
      <c r="Z101" s="40">
        <f t="shared" si="115"/>
        <v>0</v>
      </c>
      <c r="AA101" s="44">
        <f t="shared" si="116"/>
        <v>41833.067742130188</v>
      </c>
      <c r="AB101" s="35">
        <f t="shared" si="117"/>
        <v>70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648.08528568930024</v>
      </c>
      <c r="AD101" s="57">
        <v>0</v>
      </c>
      <c r="AE101" s="57">
        <v>0</v>
      </c>
      <c r="AF101" s="61">
        <f t="shared" si="105"/>
        <v>70</v>
      </c>
      <c r="AG101" s="40">
        <f t="shared" si="118"/>
        <v>0</v>
      </c>
      <c r="AH101" s="40">
        <f t="shared" si="119"/>
        <v>0</v>
      </c>
      <c r="AI101" s="44">
        <f t="shared" si="120"/>
        <v>45365.969998251014</v>
      </c>
      <c r="AJ101" s="35">
        <f t="shared" si="106"/>
        <v>70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701.50304270961715</v>
      </c>
      <c r="AL101" s="57">
        <v>0</v>
      </c>
      <c r="AM101" s="57">
        <v>0</v>
      </c>
      <c r="AN101" s="61">
        <f t="shared" si="107"/>
        <v>70</v>
      </c>
      <c r="AO101" s="40">
        <f t="shared" si="121"/>
        <v>0</v>
      </c>
      <c r="AP101" s="40">
        <f t="shared" si="122"/>
        <v>0</v>
      </c>
      <c r="AQ101" s="44">
        <f t="shared" si="123"/>
        <v>49105.2129896732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179</v>
      </c>
      <c r="G102" s="35">
        <f>SUMIFS(WORKING!$AC$3:$AC$6802,WORKING!$A$3:$A$6802,Results!$D$3,WORKING!$B$3:$B$6802,Results!A102,WORKING!$C$3:$C$6802,Results!C102)/1000</f>
        <v>52339.516689999982</v>
      </c>
      <c r="H102" s="35">
        <f t="shared" si="108"/>
        <v>292.39953458100547</v>
      </c>
      <c r="I102" s="187">
        <v>180</v>
      </c>
      <c r="J102" s="212">
        <v>52524.068143871635</v>
      </c>
      <c r="K102" s="217">
        <f t="shared" si="109"/>
        <v>291.80037857706463</v>
      </c>
      <c r="L102" s="34">
        <f t="shared" si="102"/>
        <v>180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318.59078678166463</v>
      </c>
      <c r="N102" s="57">
        <v>0</v>
      </c>
      <c r="O102" s="57">
        <v>0</v>
      </c>
      <c r="P102" s="61">
        <f t="shared" si="103"/>
        <v>180</v>
      </c>
      <c r="Q102" s="40">
        <f t="shared" si="110"/>
        <v>0</v>
      </c>
      <c r="R102" s="40">
        <f t="shared" si="111"/>
        <v>0</v>
      </c>
      <c r="S102" s="44">
        <f t="shared" si="112"/>
        <v>57346.341620699633</v>
      </c>
      <c r="T102" s="35">
        <f t="shared" si="113"/>
        <v>180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345.90120919515954</v>
      </c>
      <c r="V102" s="57">
        <v>0</v>
      </c>
      <c r="W102" s="57">
        <v>0</v>
      </c>
      <c r="X102" s="61">
        <f t="shared" si="104"/>
        <v>180</v>
      </c>
      <c r="Y102" s="40">
        <f t="shared" si="114"/>
        <v>0</v>
      </c>
      <c r="Z102" s="40">
        <f t="shared" si="115"/>
        <v>0</v>
      </c>
      <c r="AA102" s="44">
        <f t="shared" si="116"/>
        <v>62262.217655128719</v>
      </c>
      <c r="AB102" s="35">
        <f t="shared" si="117"/>
        <v>180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375.20176744532881</v>
      </c>
      <c r="AD102" s="57">
        <v>0</v>
      </c>
      <c r="AE102" s="57">
        <v>0</v>
      </c>
      <c r="AF102" s="61">
        <f t="shared" si="105"/>
        <v>180</v>
      </c>
      <c r="AG102" s="40">
        <f t="shared" si="118"/>
        <v>0</v>
      </c>
      <c r="AH102" s="40">
        <f t="shared" si="119"/>
        <v>0</v>
      </c>
      <c r="AI102" s="44">
        <f t="shared" si="120"/>
        <v>67536.318140159186</v>
      </c>
      <c r="AJ102" s="35">
        <f t="shared" si="106"/>
        <v>180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406.22288391819853</v>
      </c>
      <c r="AL102" s="57">
        <v>0</v>
      </c>
      <c r="AM102" s="57">
        <v>0</v>
      </c>
      <c r="AN102" s="61">
        <f t="shared" si="107"/>
        <v>180</v>
      </c>
      <c r="AO102" s="40">
        <f t="shared" si="121"/>
        <v>0</v>
      </c>
      <c r="AP102" s="40">
        <f t="shared" si="122"/>
        <v>0</v>
      </c>
      <c r="AQ102" s="44">
        <f t="shared" si="123"/>
        <v>73120.119105275735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34</v>
      </c>
      <c r="G103" s="35">
        <f>SUMIFS(WORKING!$AC$3:$AC$6802,WORKING!$A$3:$A$6802,Results!$D$3,WORKING!$B$3:$B$6802,Results!A103,WORKING!$C$3:$C$6802,Results!C103)/1000</f>
        <v>23874.587209999998</v>
      </c>
      <c r="H103" s="35">
        <f t="shared" si="108"/>
        <v>702.19374147058818</v>
      </c>
      <c r="I103" s="187">
        <v>34</v>
      </c>
      <c r="J103" s="212">
        <v>23958.77006186483</v>
      </c>
      <c r="K103" s="217">
        <f t="shared" si="109"/>
        <v>704.66970770190676</v>
      </c>
      <c r="L103" s="34">
        <f t="shared" si="102"/>
        <v>34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769.14283667719485</v>
      </c>
      <c r="N103" s="57">
        <v>0</v>
      </c>
      <c r="O103" s="57">
        <v>0</v>
      </c>
      <c r="P103" s="61">
        <f t="shared" si="103"/>
        <v>34</v>
      </c>
      <c r="Q103" s="40">
        <f t="shared" si="110"/>
        <v>0</v>
      </c>
      <c r="R103" s="40">
        <f t="shared" si="111"/>
        <v>0</v>
      </c>
      <c r="S103" s="44">
        <f t="shared" si="112"/>
        <v>26150.856447024624</v>
      </c>
      <c r="T103" s="35">
        <f t="shared" si="113"/>
        <v>34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834.83356759425783</v>
      </c>
      <c r="V103" s="57">
        <v>0</v>
      </c>
      <c r="W103" s="57">
        <v>0</v>
      </c>
      <c r="X103" s="61">
        <f t="shared" si="104"/>
        <v>34</v>
      </c>
      <c r="Y103" s="40">
        <f t="shared" si="114"/>
        <v>0</v>
      </c>
      <c r="Z103" s="40">
        <f t="shared" si="115"/>
        <v>0</v>
      </c>
      <c r="AA103" s="44">
        <f t="shared" si="116"/>
        <v>28384.341298204767</v>
      </c>
      <c r="AB103" s="35">
        <f t="shared" si="117"/>
        <v>34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905.28793867966021</v>
      </c>
      <c r="AD103" s="57">
        <v>0</v>
      </c>
      <c r="AE103" s="57">
        <v>0</v>
      </c>
      <c r="AF103" s="61">
        <f t="shared" si="105"/>
        <v>34</v>
      </c>
      <c r="AG103" s="40">
        <f t="shared" si="118"/>
        <v>0</v>
      </c>
      <c r="AH103" s="40">
        <f t="shared" si="119"/>
        <v>0</v>
      </c>
      <c r="AI103" s="44">
        <f t="shared" si="120"/>
        <v>30779.789915108446</v>
      </c>
      <c r="AJ103" s="35">
        <f t="shared" si="106"/>
        <v>34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979.85153991460561</v>
      </c>
      <c r="AL103" s="57">
        <v>0</v>
      </c>
      <c r="AM103" s="57">
        <v>0</v>
      </c>
      <c r="AN103" s="61">
        <f t="shared" si="107"/>
        <v>34</v>
      </c>
      <c r="AO103" s="40">
        <f t="shared" si="121"/>
        <v>0</v>
      </c>
      <c r="AP103" s="40">
        <f t="shared" si="122"/>
        <v>0</v>
      </c>
      <c r="AQ103" s="44">
        <f t="shared" si="123"/>
        <v>33314.95235709659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12</v>
      </c>
      <c r="G104" s="35">
        <f>SUMIFS(WORKING!$AC$3:$AC$6802,WORKING!$A$3:$A$6802,Results!$D$3,WORKING!$B$3:$B$6802,Results!A104,WORKING!$C$3:$C$6802,Results!C104)/1000</f>
        <v>11565.19029</v>
      </c>
      <c r="H104" s="35">
        <f t="shared" si="108"/>
        <v>963.76585750000004</v>
      </c>
      <c r="I104" s="187">
        <v>12</v>
      </c>
      <c r="J104" s="212">
        <v>11605.969663163942</v>
      </c>
      <c r="K104" s="217">
        <f t="shared" si="109"/>
        <v>967.16413859699514</v>
      </c>
      <c r="L104" s="34">
        <f t="shared" si="102"/>
        <v>12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1013.4713118772247</v>
      </c>
      <c r="N104" s="57">
        <v>0</v>
      </c>
      <c r="O104" s="57">
        <v>0</v>
      </c>
      <c r="P104" s="61">
        <f t="shared" si="103"/>
        <v>12</v>
      </c>
      <c r="Q104" s="40">
        <f t="shared" si="110"/>
        <v>0</v>
      </c>
      <c r="R104" s="40">
        <f t="shared" si="111"/>
        <v>0</v>
      </c>
      <c r="S104" s="44">
        <f t="shared" si="112"/>
        <v>12161.655742526696</v>
      </c>
      <c r="T104" s="35">
        <f t="shared" si="113"/>
        <v>12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1089.753514231908</v>
      </c>
      <c r="V104" s="57">
        <v>0</v>
      </c>
      <c r="W104" s="57">
        <v>0</v>
      </c>
      <c r="X104" s="61">
        <f t="shared" si="104"/>
        <v>12</v>
      </c>
      <c r="Y104" s="40">
        <f t="shared" si="114"/>
        <v>0</v>
      </c>
      <c r="Z104" s="40">
        <f t="shared" si="115"/>
        <v>0</v>
      </c>
      <c r="AA104" s="44">
        <f t="shared" si="116"/>
        <v>13077.042170782895</v>
      </c>
      <c r="AB104" s="35">
        <f t="shared" si="117"/>
        <v>12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1170.6718934084279</v>
      </c>
      <c r="AD104" s="57">
        <v>0</v>
      </c>
      <c r="AE104" s="57">
        <v>0</v>
      </c>
      <c r="AF104" s="61">
        <f t="shared" si="105"/>
        <v>12</v>
      </c>
      <c r="AG104" s="40">
        <f t="shared" si="118"/>
        <v>0</v>
      </c>
      <c r="AH104" s="40">
        <f t="shared" si="119"/>
        <v>0</v>
      </c>
      <c r="AI104" s="44">
        <f t="shared" si="120"/>
        <v>14048.062720901135</v>
      </c>
      <c r="AJ104" s="35">
        <f t="shared" si="106"/>
        <v>12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1255.2237041715089</v>
      </c>
      <c r="AL104" s="57">
        <v>0</v>
      </c>
      <c r="AM104" s="57">
        <v>0</v>
      </c>
      <c r="AN104" s="61">
        <f t="shared" si="107"/>
        <v>12</v>
      </c>
      <c r="AO104" s="40">
        <f t="shared" si="121"/>
        <v>0</v>
      </c>
      <c r="AP104" s="40">
        <f t="shared" si="122"/>
        <v>0</v>
      </c>
      <c r="AQ104" s="44">
        <f t="shared" si="123"/>
        <v>15062.684450058106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2</v>
      </c>
      <c r="G105" s="35">
        <f>SUMIFS(WORKING!$AC$3:$AC$6802,WORKING!$A$3:$A$6802,Results!$D$3,WORKING!$B$3:$B$6802,Results!A105,WORKING!$C$3:$C$6802,Results!C105)/1000</f>
        <v>4013.1418599999993</v>
      </c>
      <c r="H105" s="35">
        <f t="shared" si="108"/>
        <v>2006.5709299999996</v>
      </c>
      <c r="I105" s="187">
        <v>2</v>
      </c>
      <c r="J105" s="212">
        <v>4027.2923759331679</v>
      </c>
      <c r="K105" s="217">
        <f t="shared" si="109"/>
        <v>2013.646187966584</v>
      </c>
      <c r="L105" s="34">
        <f t="shared" si="102"/>
        <v>2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2110.5113424047836</v>
      </c>
      <c r="N105" s="57">
        <v>0</v>
      </c>
      <c r="O105" s="57">
        <v>0</v>
      </c>
      <c r="P105" s="61">
        <f t="shared" si="103"/>
        <v>2</v>
      </c>
      <c r="Q105" s="40">
        <f t="shared" si="110"/>
        <v>0</v>
      </c>
      <c r="R105" s="40">
        <f t="shared" si="111"/>
        <v>0</v>
      </c>
      <c r="S105" s="44">
        <f t="shared" si="112"/>
        <v>4221.0226848095672</v>
      </c>
      <c r="T105" s="35">
        <f t="shared" si="113"/>
        <v>2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2269.8531469003779</v>
      </c>
      <c r="V105" s="57">
        <v>0</v>
      </c>
      <c r="W105" s="57">
        <v>0</v>
      </c>
      <c r="X105" s="61">
        <f t="shared" si="104"/>
        <v>2</v>
      </c>
      <c r="Y105" s="40">
        <f t="shared" si="114"/>
        <v>0</v>
      </c>
      <c r="Z105" s="40">
        <f t="shared" si="115"/>
        <v>0</v>
      </c>
      <c r="AA105" s="44">
        <f t="shared" si="116"/>
        <v>4539.7062938007557</v>
      </c>
      <c r="AB105" s="35">
        <f t="shared" si="117"/>
        <v>2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2438.9220790292579</v>
      </c>
      <c r="AD105" s="57">
        <v>0</v>
      </c>
      <c r="AE105" s="57">
        <v>0</v>
      </c>
      <c r="AF105" s="61">
        <f t="shared" si="105"/>
        <v>2</v>
      </c>
      <c r="AG105" s="40">
        <f t="shared" si="118"/>
        <v>0</v>
      </c>
      <c r="AH105" s="40">
        <f t="shared" si="119"/>
        <v>0</v>
      </c>
      <c r="AI105" s="44">
        <f t="shared" si="120"/>
        <v>4877.8441580585159</v>
      </c>
      <c r="AJ105" s="35">
        <f t="shared" si="106"/>
        <v>2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2615.6348629646027</v>
      </c>
      <c r="AL105" s="57">
        <v>0</v>
      </c>
      <c r="AM105" s="57">
        <v>0</v>
      </c>
      <c r="AN105" s="61">
        <f t="shared" si="107"/>
        <v>2</v>
      </c>
      <c r="AO105" s="40">
        <f t="shared" si="121"/>
        <v>0</v>
      </c>
      <c r="AP105" s="40">
        <f t="shared" si="122"/>
        <v>0</v>
      </c>
      <c r="AQ105" s="44">
        <f t="shared" si="123"/>
        <v>5231.2697259292054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379.85273000000001</v>
      </c>
      <c r="H106" s="35">
        <f t="shared" si="108"/>
        <v>379.85273000000001</v>
      </c>
      <c r="I106" s="187">
        <v>1</v>
      </c>
      <c r="J106" s="212">
        <v>381.19210754897176</v>
      </c>
      <c r="K106" s="217">
        <f t="shared" si="109"/>
        <v>381.19210754897176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399.59844369753762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399.59844369753762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429.84236776228602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429.84236776228602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461.93912398669903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461.93912398669903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495.49502713458003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495.49502713458003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1487</v>
      </c>
      <c r="G112" s="41">
        <f>SUM(G92:G111)</f>
        <v>442842.51766999986</v>
      </c>
      <c r="H112" s="41">
        <f>IFERROR(G112/F112,0)</f>
        <v>297.80935956287817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1492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444404.00000000006</v>
      </c>
      <c r="K112" s="41">
        <f>IFERROR(J112/I112,"")</f>
        <v>297.857908847185</v>
      </c>
      <c r="L112" s="41">
        <f>SUM(L92:L111)</f>
        <v>1492</v>
      </c>
      <c r="M112" s="41">
        <f>IFERROR(S112/P112,0)</f>
        <v>323.87947041769024</v>
      </c>
      <c r="N112" s="41">
        <f t="shared" ref="N112:T112" si="124">SUM(N92:N111)</f>
        <v>0</v>
      </c>
      <c r="O112" s="41">
        <f t="shared" si="124"/>
        <v>0</v>
      </c>
      <c r="P112" s="41">
        <f t="shared" si="124"/>
        <v>1492</v>
      </c>
      <c r="Q112" s="41">
        <f t="shared" si="124"/>
        <v>0</v>
      </c>
      <c r="R112" s="41">
        <f t="shared" si="124"/>
        <v>0</v>
      </c>
      <c r="S112" s="45">
        <f t="shared" si="124"/>
        <v>483228.16986319382</v>
      </c>
      <c r="T112" s="41">
        <f t="shared" si="124"/>
        <v>1492</v>
      </c>
      <c r="U112" s="41">
        <f>IFERROR(AA112/X112,0)</f>
        <v>351.31999135280967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1492</v>
      </c>
      <c r="Y112" s="41">
        <f t="shared" si="125"/>
        <v>0</v>
      </c>
      <c r="Z112" s="41">
        <f t="shared" si="125"/>
        <v>0</v>
      </c>
      <c r="AA112" s="45">
        <f t="shared" si="125"/>
        <v>524169.42709839199</v>
      </c>
      <c r="AB112" s="41">
        <f t="shared" si="125"/>
        <v>1492</v>
      </c>
      <c r="AC112" s="41">
        <f>IFERROR(AI112/AF112,0)</f>
        <v>380.73031566317599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1492</v>
      </c>
      <c r="AG112" s="41">
        <f t="shared" si="126"/>
        <v>0</v>
      </c>
      <c r="AH112" s="41">
        <f t="shared" si="126"/>
        <v>0</v>
      </c>
      <c r="AI112" s="45">
        <f t="shared" si="126"/>
        <v>568049.63096945861</v>
      </c>
      <c r="AJ112" s="41">
        <f t="shared" si="126"/>
        <v>1492</v>
      </c>
      <c r="AK112" s="41">
        <f>IFERROR(AQ112/AN112,0)</f>
        <v>411.83187429452272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1492</v>
      </c>
      <c r="AO112" s="41">
        <f t="shared" si="127"/>
        <v>0</v>
      </c>
      <c r="AP112" s="41">
        <f t="shared" si="127"/>
        <v>0</v>
      </c>
      <c r="AQ112" s="45">
        <f t="shared" si="127"/>
        <v>614453.15644742793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591793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615293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636431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684799.75600000005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108564.83013680618</v>
      </c>
      <c r="T114" s="39"/>
      <c r="U114" s="39"/>
      <c r="V114" s="53"/>
      <c r="W114" s="53"/>
      <c r="X114" s="110"/>
      <c r="Y114" s="39"/>
      <c r="Z114" s="39"/>
      <c r="AA114" s="54">
        <f>AA113-AA112</f>
        <v>91123.572901608015</v>
      </c>
      <c r="AB114" s="39"/>
      <c r="AC114" s="53"/>
      <c r="AD114" s="53"/>
      <c r="AE114" s="110"/>
      <c r="AF114" s="39"/>
      <c r="AG114" s="39"/>
      <c r="AH114" s="39"/>
      <c r="AI114" s="54">
        <f>AI113-AI112</f>
        <v>68381.369030541391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70346.599552572123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Food Security and Agrarian Reform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13</v>
      </c>
      <c r="G120" s="35">
        <f>SUMIFS(WORKING!$AC$3:$AC$6802,WORKING!$A$3:$A$6802,Results!$D$3,WORKING!$B$3:$B$6802,Results!A120,WORKING!$C$3:$C$6802,Results!C120)/1000</f>
        <v>4956.5892499999991</v>
      </c>
      <c r="H120" s="35">
        <f>IFERROR(G120/F120,0)</f>
        <v>381.27609615384608</v>
      </c>
      <c r="I120" s="156">
        <v>75</v>
      </c>
      <c r="J120" s="211">
        <v>4461</v>
      </c>
      <c r="K120" s="217">
        <f>IFERROR(IF(J120="",G120,J120)/IF(I120="",F120,I120),"")</f>
        <v>59.48</v>
      </c>
      <c r="L120" s="34">
        <f t="shared" ref="L120:L139" si="128">IF(I120="",F120,I120)</f>
        <v>75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64.960487199999989</v>
      </c>
      <c r="N120" s="57">
        <v>0</v>
      </c>
      <c r="O120" s="57">
        <v>0</v>
      </c>
      <c r="P120" s="61">
        <f t="shared" ref="P120:P139" si="129">-O120+L120+N120</f>
        <v>75</v>
      </c>
      <c r="Q120" s="40">
        <f>M120*N120</f>
        <v>0</v>
      </c>
      <c r="R120" s="40">
        <f>-M120*O120</f>
        <v>0</v>
      </c>
      <c r="S120" s="44">
        <f>M120*P120</f>
        <v>4872.0365399999991</v>
      </c>
      <c r="T120" s="35">
        <f>P120</f>
        <v>75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70.550337123559984</v>
      </c>
      <c r="V120" s="57">
        <v>0</v>
      </c>
      <c r="W120" s="57">
        <v>0</v>
      </c>
      <c r="X120" s="61">
        <f t="shared" ref="X120:X139" si="130">-W120+T120+V120</f>
        <v>75</v>
      </c>
      <c r="Y120" s="40">
        <f>U120*V120</f>
        <v>0</v>
      </c>
      <c r="Z120" s="40">
        <f>-U120*W120</f>
        <v>0</v>
      </c>
      <c r="AA120" s="44">
        <f>U120*X120</f>
        <v>5291.2752842669988</v>
      </c>
      <c r="AB120" s="35">
        <f>X120</f>
        <v>75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76.549585040861899</v>
      </c>
      <c r="AD120" s="57">
        <v>0</v>
      </c>
      <c r="AE120" s="57">
        <v>0</v>
      </c>
      <c r="AF120" s="61">
        <f t="shared" ref="AF120:AF139" si="131">-AE120+AB120+AD120</f>
        <v>75</v>
      </c>
      <c r="AG120" s="40">
        <f>AC120*AD120</f>
        <v>0</v>
      </c>
      <c r="AH120" s="40">
        <f>-AC120*AE120</f>
        <v>0</v>
      </c>
      <c r="AI120" s="44">
        <f>AC120*AF120</f>
        <v>5741.218878064642</v>
      </c>
      <c r="AJ120" s="35">
        <f t="shared" ref="AJ120:AJ139" si="132">AF120</f>
        <v>75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82.903583347178639</v>
      </c>
      <c r="AL120" s="57">
        <v>0</v>
      </c>
      <c r="AM120" s="57">
        <v>0</v>
      </c>
      <c r="AN120" s="61">
        <f t="shared" ref="AN120:AN139" si="133">-AM120+AJ120+AL120</f>
        <v>75</v>
      </c>
      <c r="AO120" s="40">
        <f>AK120*AL120</f>
        <v>0</v>
      </c>
      <c r="AP120" s="40">
        <f>-AK120*AM120</f>
        <v>0</v>
      </c>
      <c r="AQ120" s="44">
        <f>AK120*AN120</f>
        <v>6217.7687510383976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299</v>
      </c>
      <c r="G121" s="35">
        <f>SUMIFS(WORKING!$AC$3:$AC$6802,WORKING!$A$3:$A$6802,Results!$D$3,WORKING!$B$3:$B$6802,Results!A121,WORKING!$C$3:$C$6802,Results!C121)/1000</f>
        <v>20963.233879999996</v>
      </c>
      <c r="H121" s="35">
        <f t="shared" ref="H121:H139" si="134">IFERROR(G121/F121,0)</f>
        <v>70.111150100334442</v>
      </c>
      <c r="I121" s="187">
        <v>242</v>
      </c>
      <c r="J121" s="212">
        <v>18866.673185851363</v>
      </c>
      <c r="K121" s="217">
        <f t="shared" ref="K121:K139" si="135">IFERROR(IF(J121="",G121,J121)/IF(I121="",F121,I121),"")</f>
        <v>77.96145944566679</v>
      </c>
      <c r="L121" s="34">
        <f t="shared" si="128"/>
        <v>242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84.925222746090171</v>
      </c>
      <c r="N121" s="57">
        <v>0</v>
      </c>
      <c r="O121" s="57">
        <v>0</v>
      </c>
      <c r="P121" s="61">
        <f t="shared" si="129"/>
        <v>242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20551.903904553823</v>
      </c>
      <c r="T121" s="35">
        <f t="shared" ref="T121:T139" si="139">P121</f>
        <v>242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92.164862622766591</v>
      </c>
      <c r="V121" s="57">
        <v>0</v>
      </c>
      <c r="W121" s="57">
        <v>0</v>
      </c>
      <c r="X121" s="61">
        <f t="shared" si="130"/>
        <v>242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22303.896754709516</v>
      </c>
      <c r="AB121" s="35">
        <f t="shared" ref="AB121:AB139" si="143">X121</f>
        <v>242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99.928199836461445</v>
      </c>
      <c r="AD121" s="57">
        <v>0</v>
      </c>
      <c r="AE121" s="57">
        <v>0</v>
      </c>
      <c r="AF121" s="61">
        <f t="shared" si="131"/>
        <v>242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24182.62436042367</v>
      </c>
      <c r="AJ121" s="35">
        <f t="shared" si="132"/>
        <v>242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108.1427984633941</v>
      </c>
      <c r="AL121" s="57">
        <v>0</v>
      </c>
      <c r="AM121" s="57">
        <v>0</v>
      </c>
      <c r="AN121" s="61">
        <f t="shared" si="133"/>
        <v>242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26170.557228141373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98</v>
      </c>
      <c r="G122" s="35">
        <f>SUMIFS(WORKING!$AC$3:$AC$6802,WORKING!$A$3:$A$6802,Results!$D$3,WORKING!$B$3:$B$6802,Results!A122,WORKING!$C$3:$C$6802,Results!C122)/1000</f>
        <v>15596.842259999999</v>
      </c>
      <c r="H122" s="35">
        <f t="shared" si="134"/>
        <v>159.15145163265305</v>
      </c>
      <c r="I122" s="187">
        <v>98</v>
      </c>
      <c r="J122" s="212">
        <v>14036.981476003806</v>
      </c>
      <c r="K122" s="217">
        <f t="shared" si="135"/>
        <v>143.23450485718169</v>
      </c>
      <c r="L122" s="34">
        <f t="shared" si="128"/>
        <v>98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155.45053100510128</v>
      </c>
      <c r="N122" s="57">
        <v>0</v>
      </c>
      <c r="O122" s="57">
        <v>0</v>
      </c>
      <c r="P122" s="61">
        <f t="shared" si="129"/>
        <v>98</v>
      </c>
      <c r="Q122" s="40">
        <f t="shared" si="136"/>
        <v>0</v>
      </c>
      <c r="R122" s="40">
        <f t="shared" si="137"/>
        <v>0</v>
      </c>
      <c r="S122" s="44">
        <f t="shared" si="138"/>
        <v>15234.152038499926</v>
      </c>
      <c r="T122" s="35">
        <f t="shared" si="139"/>
        <v>98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168.522740894131</v>
      </c>
      <c r="V122" s="57">
        <v>0</v>
      </c>
      <c r="W122" s="57">
        <v>0</v>
      </c>
      <c r="X122" s="61">
        <f t="shared" si="130"/>
        <v>98</v>
      </c>
      <c r="Y122" s="40">
        <f t="shared" si="140"/>
        <v>0</v>
      </c>
      <c r="Z122" s="40">
        <f t="shared" si="141"/>
        <v>0</v>
      </c>
      <c r="AA122" s="44">
        <f t="shared" si="142"/>
        <v>16515.228607624838</v>
      </c>
      <c r="AB122" s="35">
        <f t="shared" si="143"/>
        <v>98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182.52356561319479</v>
      </c>
      <c r="AD122" s="57">
        <v>0</v>
      </c>
      <c r="AE122" s="57">
        <v>0</v>
      </c>
      <c r="AF122" s="61">
        <f t="shared" si="131"/>
        <v>98</v>
      </c>
      <c r="AG122" s="40">
        <f t="shared" si="144"/>
        <v>0</v>
      </c>
      <c r="AH122" s="40">
        <f t="shared" si="145"/>
        <v>0</v>
      </c>
      <c r="AI122" s="44">
        <f t="shared" si="146"/>
        <v>17887.30943009309</v>
      </c>
      <c r="AJ122" s="35">
        <f t="shared" si="132"/>
        <v>98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197.31790094302139</v>
      </c>
      <c r="AL122" s="57">
        <v>0</v>
      </c>
      <c r="AM122" s="57">
        <v>0</v>
      </c>
      <c r="AN122" s="61">
        <f t="shared" si="133"/>
        <v>98</v>
      </c>
      <c r="AO122" s="40">
        <f t="shared" si="147"/>
        <v>0</v>
      </c>
      <c r="AP122" s="40">
        <f t="shared" si="148"/>
        <v>0</v>
      </c>
      <c r="AQ122" s="44">
        <f t="shared" si="149"/>
        <v>19337.154292416097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17</v>
      </c>
      <c r="G123" s="35">
        <f>SUMIFS(WORKING!$AC$3:$AC$6802,WORKING!$A$3:$A$6802,Results!$D$3,WORKING!$B$3:$B$6802,Results!A123,WORKING!$C$3:$C$6802,Results!C123)/1000</f>
        <v>3736.7260499999993</v>
      </c>
      <c r="H123" s="35">
        <f t="shared" si="134"/>
        <v>219.80741470588231</v>
      </c>
      <c r="I123" s="187">
        <v>17</v>
      </c>
      <c r="J123" s="212">
        <v>2550</v>
      </c>
      <c r="K123" s="217">
        <f t="shared" si="135"/>
        <v>150</v>
      </c>
      <c r="L123" s="34">
        <f t="shared" si="128"/>
        <v>17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162.99289663007437</v>
      </c>
      <c r="N123" s="57">
        <v>0</v>
      </c>
      <c r="O123" s="57">
        <v>0</v>
      </c>
      <c r="P123" s="61">
        <f t="shared" si="129"/>
        <v>17</v>
      </c>
      <c r="Q123" s="40">
        <f t="shared" si="136"/>
        <v>0</v>
      </c>
      <c r="R123" s="40">
        <f t="shared" si="137"/>
        <v>0</v>
      </c>
      <c r="S123" s="44">
        <f t="shared" si="138"/>
        <v>2770.8792427112644</v>
      </c>
      <c r="T123" s="35">
        <f t="shared" si="139"/>
        <v>17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176.76020020664006</v>
      </c>
      <c r="V123" s="57">
        <v>0</v>
      </c>
      <c r="W123" s="57">
        <v>0</v>
      </c>
      <c r="X123" s="61">
        <f t="shared" si="130"/>
        <v>17</v>
      </c>
      <c r="Y123" s="40">
        <f t="shared" si="140"/>
        <v>0</v>
      </c>
      <c r="Z123" s="40">
        <f t="shared" si="141"/>
        <v>0</v>
      </c>
      <c r="AA123" s="44">
        <f t="shared" si="142"/>
        <v>3004.9234035128811</v>
      </c>
      <c r="AB123" s="35">
        <f t="shared" si="143"/>
        <v>17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191.51134888862754</v>
      </c>
      <c r="AD123" s="57">
        <v>0</v>
      </c>
      <c r="AE123" s="57">
        <v>0</v>
      </c>
      <c r="AF123" s="61">
        <f t="shared" si="131"/>
        <v>17</v>
      </c>
      <c r="AG123" s="40">
        <f t="shared" si="144"/>
        <v>0</v>
      </c>
      <c r="AH123" s="40">
        <f t="shared" si="145"/>
        <v>0</v>
      </c>
      <c r="AI123" s="44">
        <f t="shared" si="146"/>
        <v>3255.6929311066683</v>
      </c>
      <c r="AJ123" s="35">
        <f t="shared" si="132"/>
        <v>17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207.10560540066689</v>
      </c>
      <c r="AL123" s="57">
        <v>0</v>
      </c>
      <c r="AM123" s="57">
        <v>0</v>
      </c>
      <c r="AN123" s="61">
        <f t="shared" si="133"/>
        <v>17</v>
      </c>
      <c r="AO123" s="40">
        <f t="shared" si="147"/>
        <v>0</v>
      </c>
      <c r="AP123" s="40">
        <f t="shared" si="148"/>
        <v>0</v>
      </c>
      <c r="AQ123" s="44">
        <f t="shared" si="149"/>
        <v>3520.7952918113369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29</v>
      </c>
      <c r="G124" s="35">
        <f>SUMIFS(WORKING!$AC$3:$AC$6802,WORKING!$A$3:$A$6802,Results!$D$3,WORKING!$B$3:$B$6802,Results!A124,WORKING!$C$3:$C$6802,Results!C124)/1000</f>
        <v>5457.9658200000003</v>
      </c>
      <c r="H124" s="35">
        <f t="shared" si="134"/>
        <v>188.20571793103448</v>
      </c>
      <c r="I124" s="187">
        <v>29</v>
      </c>
      <c r="J124" s="212">
        <v>4912.107453217388</v>
      </c>
      <c r="K124" s="217">
        <f t="shared" si="135"/>
        <v>169.3830156281858</v>
      </c>
      <c r="L124" s="34">
        <f t="shared" si="128"/>
        <v>29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184.06829500103476</v>
      </c>
      <c r="N124" s="57">
        <v>0</v>
      </c>
      <c r="O124" s="57">
        <v>0</v>
      </c>
      <c r="P124" s="61">
        <f t="shared" si="129"/>
        <v>29</v>
      </c>
      <c r="Q124" s="40">
        <f t="shared" si="136"/>
        <v>0</v>
      </c>
      <c r="R124" s="40">
        <f t="shared" si="137"/>
        <v>0</v>
      </c>
      <c r="S124" s="44">
        <f t="shared" si="138"/>
        <v>5337.980555030008</v>
      </c>
      <c r="T124" s="35">
        <f t="shared" si="139"/>
        <v>29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199.620376314065</v>
      </c>
      <c r="V124" s="57">
        <v>0</v>
      </c>
      <c r="W124" s="57">
        <v>0</v>
      </c>
      <c r="X124" s="61">
        <f t="shared" si="130"/>
        <v>29</v>
      </c>
      <c r="Y124" s="40">
        <f t="shared" si="140"/>
        <v>0</v>
      </c>
      <c r="Z124" s="40">
        <f t="shared" si="141"/>
        <v>0</v>
      </c>
      <c r="AA124" s="44">
        <f t="shared" si="142"/>
        <v>5788.9909131078848</v>
      </c>
      <c r="AB124" s="35">
        <f t="shared" si="143"/>
        <v>29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216.28427222712662</v>
      </c>
      <c r="AD124" s="57">
        <v>0</v>
      </c>
      <c r="AE124" s="57">
        <v>0</v>
      </c>
      <c r="AF124" s="61">
        <f t="shared" si="131"/>
        <v>29</v>
      </c>
      <c r="AG124" s="40">
        <f t="shared" si="144"/>
        <v>0</v>
      </c>
      <c r="AH124" s="40">
        <f t="shared" si="145"/>
        <v>0</v>
      </c>
      <c r="AI124" s="44">
        <f t="shared" si="146"/>
        <v>6272.2438945866725</v>
      </c>
      <c r="AJ124" s="35">
        <f t="shared" si="132"/>
        <v>29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233.90109126589877</v>
      </c>
      <c r="AL124" s="57">
        <v>0</v>
      </c>
      <c r="AM124" s="57">
        <v>0</v>
      </c>
      <c r="AN124" s="61">
        <f t="shared" si="133"/>
        <v>29</v>
      </c>
      <c r="AO124" s="40">
        <f t="shared" si="147"/>
        <v>0</v>
      </c>
      <c r="AP124" s="40">
        <f t="shared" si="148"/>
        <v>0</v>
      </c>
      <c r="AQ124" s="44">
        <f t="shared" si="149"/>
        <v>6783.1316467110646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11</v>
      </c>
      <c r="G125" s="35">
        <f>SUMIFS(WORKING!$AC$3:$AC$6802,WORKING!$A$3:$A$6802,Results!$D$3,WORKING!$B$3:$B$6802,Results!A125,WORKING!$C$3:$C$6802,Results!C125)/1000</f>
        <v>3663.6522600000003</v>
      </c>
      <c r="H125" s="35">
        <f t="shared" si="134"/>
        <v>333.05929636363641</v>
      </c>
      <c r="I125" s="187">
        <v>11</v>
      </c>
      <c r="J125" s="212">
        <v>2970</v>
      </c>
      <c r="K125" s="217">
        <f t="shared" si="135"/>
        <v>270</v>
      </c>
      <c r="L125" s="34">
        <f t="shared" si="128"/>
        <v>11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293.62611345004501</v>
      </c>
      <c r="N125" s="57">
        <v>0</v>
      </c>
      <c r="O125" s="57">
        <v>0</v>
      </c>
      <c r="P125" s="61">
        <f t="shared" si="129"/>
        <v>11</v>
      </c>
      <c r="Q125" s="40">
        <f t="shared" si="136"/>
        <v>0</v>
      </c>
      <c r="R125" s="40">
        <f t="shared" si="137"/>
        <v>0</v>
      </c>
      <c r="S125" s="44">
        <f t="shared" si="138"/>
        <v>3229.8872479504953</v>
      </c>
      <c r="T125" s="35">
        <f t="shared" si="139"/>
        <v>11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318.50427165143088</v>
      </c>
      <c r="V125" s="57">
        <v>0</v>
      </c>
      <c r="W125" s="57">
        <v>0</v>
      </c>
      <c r="X125" s="61">
        <f t="shared" si="130"/>
        <v>11</v>
      </c>
      <c r="Y125" s="40">
        <f t="shared" si="140"/>
        <v>0</v>
      </c>
      <c r="Z125" s="40">
        <f t="shared" si="141"/>
        <v>0</v>
      </c>
      <c r="AA125" s="44">
        <f t="shared" si="142"/>
        <v>3503.5469881657395</v>
      </c>
      <c r="AB125" s="35">
        <f t="shared" si="143"/>
        <v>11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345.16750508571391</v>
      </c>
      <c r="AD125" s="57">
        <v>0</v>
      </c>
      <c r="AE125" s="57">
        <v>0</v>
      </c>
      <c r="AF125" s="61">
        <f t="shared" si="131"/>
        <v>11</v>
      </c>
      <c r="AG125" s="40">
        <f t="shared" si="144"/>
        <v>0</v>
      </c>
      <c r="AH125" s="40">
        <f t="shared" si="145"/>
        <v>0</v>
      </c>
      <c r="AI125" s="44">
        <f t="shared" si="146"/>
        <v>3796.8425559428529</v>
      </c>
      <c r="AJ125" s="35">
        <f t="shared" si="132"/>
        <v>11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373.36320887447783</v>
      </c>
      <c r="AL125" s="57">
        <v>0</v>
      </c>
      <c r="AM125" s="57">
        <v>0</v>
      </c>
      <c r="AN125" s="61">
        <f t="shared" si="133"/>
        <v>11</v>
      </c>
      <c r="AO125" s="40">
        <f t="shared" si="147"/>
        <v>0</v>
      </c>
      <c r="AP125" s="40">
        <f t="shared" si="148"/>
        <v>0</v>
      </c>
      <c r="AQ125" s="44">
        <f t="shared" si="149"/>
        <v>4106.9952976192562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25</v>
      </c>
      <c r="G126" s="35">
        <f>SUMIFS(WORKING!$AC$3:$AC$6802,WORKING!$A$3:$A$6802,Results!$D$3,WORKING!$B$3:$B$6802,Results!A126,WORKING!$C$3:$C$6802,Results!C126)/1000</f>
        <v>7098.4008600000006</v>
      </c>
      <c r="H126" s="35">
        <f t="shared" si="134"/>
        <v>283.93603440000004</v>
      </c>
      <c r="I126" s="187">
        <v>25</v>
      </c>
      <c r="J126" s="212">
        <v>7201</v>
      </c>
      <c r="K126" s="217">
        <f t="shared" si="135"/>
        <v>288.04000000000002</v>
      </c>
      <c r="L126" s="34">
        <f t="shared" si="128"/>
        <v>25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313.48212159022194</v>
      </c>
      <c r="N126" s="57">
        <v>0</v>
      </c>
      <c r="O126" s="57">
        <v>0</v>
      </c>
      <c r="P126" s="61">
        <f t="shared" si="129"/>
        <v>25</v>
      </c>
      <c r="Q126" s="40">
        <f t="shared" si="136"/>
        <v>0</v>
      </c>
      <c r="R126" s="40">
        <f t="shared" si="137"/>
        <v>0</v>
      </c>
      <c r="S126" s="44">
        <f t="shared" si="138"/>
        <v>7837.0530397555485</v>
      </c>
      <c r="T126" s="35">
        <f t="shared" si="139"/>
        <v>25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340.11666662032258</v>
      </c>
      <c r="V126" s="57">
        <v>0</v>
      </c>
      <c r="W126" s="57">
        <v>0</v>
      </c>
      <c r="X126" s="61">
        <f t="shared" si="130"/>
        <v>25</v>
      </c>
      <c r="Y126" s="40">
        <f t="shared" si="140"/>
        <v>0</v>
      </c>
      <c r="Z126" s="40">
        <f t="shared" si="141"/>
        <v>0</v>
      </c>
      <c r="AA126" s="44">
        <f t="shared" si="142"/>
        <v>8502.9166655080644</v>
      </c>
      <c r="AB126" s="35">
        <f t="shared" si="143"/>
        <v>25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368.66937773295774</v>
      </c>
      <c r="AD126" s="57">
        <v>0</v>
      </c>
      <c r="AE126" s="57">
        <v>0</v>
      </c>
      <c r="AF126" s="61">
        <f t="shared" si="131"/>
        <v>25</v>
      </c>
      <c r="AG126" s="40">
        <f t="shared" si="144"/>
        <v>0</v>
      </c>
      <c r="AH126" s="40">
        <f t="shared" si="145"/>
        <v>0</v>
      </c>
      <c r="AI126" s="44">
        <f t="shared" si="146"/>
        <v>9216.7344433239432</v>
      </c>
      <c r="AJ126" s="35">
        <f t="shared" si="132"/>
        <v>25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398.87159312215704</v>
      </c>
      <c r="AL126" s="57">
        <v>0</v>
      </c>
      <c r="AM126" s="57">
        <v>0</v>
      </c>
      <c r="AN126" s="61">
        <f t="shared" si="133"/>
        <v>25</v>
      </c>
      <c r="AO126" s="40">
        <f t="shared" si="147"/>
        <v>0</v>
      </c>
      <c r="AP126" s="40">
        <f t="shared" si="148"/>
        <v>0</v>
      </c>
      <c r="AQ126" s="44">
        <f t="shared" si="149"/>
        <v>9971.7898280539266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61</v>
      </c>
      <c r="G127" s="35">
        <f>SUMIFS(WORKING!$AC$3:$AC$6802,WORKING!$A$3:$A$6802,Results!$D$3,WORKING!$B$3:$B$6802,Results!A127,WORKING!$C$3:$C$6802,Results!C127)/1000</f>
        <v>22896.133119999999</v>
      </c>
      <c r="H127" s="35">
        <f t="shared" si="134"/>
        <v>375.34644459016391</v>
      </c>
      <c r="I127" s="187">
        <v>61</v>
      </c>
      <c r="J127" s="212">
        <v>20606.260621216108</v>
      </c>
      <c r="K127" s="217">
        <f t="shared" si="135"/>
        <v>337.80755116747719</v>
      </c>
      <c r="L127" s="34">
        <f t="shared" si="128"/>
        <v>61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367.80956143893911</v>
      </c>
      <c r="N127" s="57">
        <v>0</v>
      </c>
      <c r="O127" s="57">
        <v>0</v>
      </c>
      <c r="P127" s="61">
        <f t="shared" si="129"/>
        <v>61</v>
      </c>
      <c r="Q127" s="40">
        <f t="shared" si="136"/>
        <v>0</v>
      </c>
      <c r="R127" s="40">
        <f t="shared" si="137"/>
        <v>0</v>
      </c>
      <c r="S127" s="44">
        <f t="shared" si="138"/>
        <v>22436.383247775288</v>
      </c>
      <c r="T127" s="35">
        <f t="shared" si="139"/>
        <v>61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399.11023770975288</v>
      </c>
      <c r="V127" s="57">
        <v>0</v>
      </c>
      <c r="W127" s="57">
        <v>0</v>
      </c>
      <c r="X127" s="61">
        <f t="shared" si="130"/>
        <v>61</v>
      </c>
      <c r="Y127" s="40">
        <f t="shared" si="140"/>
        <v>0</v>
      </c>
      <c r="Z127" s="40">
        <f t="shared" si="141"/>
        <v>0</v>
      </c>
      <c r="AA127" s="44">
        <f t="shared" si="142"/>
        <v>24345.724500294924</v>
      </c>
      <c r="AB127" s="35">
        <f t="shared" si="143"/>
        <v>61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432.6699816294236</v>
      </c>
      <c r="AD127" s="57">
        <v>0</v>
      </c>
      <c r="AE127" s="57">
        <v>0</v>
      </c>
      <c r="AF127" s="61">
        <f t="shared" si="131"/>
        <v>61</v>
      </c>
      <c r="AG127" s="40">
        <f t="shared" si="144"/>
        <v>0</v>
      </c>
      <c r="AH127" s="40">
        <f t="shared" si="145"/>
        <v>0</v>
      </c>
      <c r="AI127" s="44">
        <f t="shared" si="146"/>
        <v>26392.868879394839</v>
      </c>
      <c r="AJ127" s="35">
        <f t="shared" si="132"/>
        <v>61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468.17434256344666</v>
      </c>
      <c r="AL127" s="57">
        <v>0</v>
      </c>
      <c r="AM127" s="57">
        <v>0</v>
      </c>
      <c r="AN127" s="61">
        <f t="shared" si="133"/>
        <v>61</v>
      </c>
      <c r="AO127" s="40">
        <f t="shared" si="147"/>
        <v>0</v>
      </c>
      <c r="AP127" s="40">
        <f t="shared" si="148"/>
        <v>0</v>
      </c>
      <c r="AQ127" s="44">
        <f t="shared" si="149"/>
        <v>28558.634896370248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28</v>
      </c>
      <c r="G128" s="35">
        <f>SUMIFS(WORKING!$AC$3:$AC$6802,WORKING!$A$3:$A$6802,Results!$D$3,WORKING!$B$3:$B$6802,Results!A128,WORKING!$C$3:$C$6802,Results!C128)/1000</f>
        <v>11079.213760000004</v>
      </c>
      <c r="H128" s="35">
        <f t="shared" si="134"/>
        <v>395.68620571428585</v>
      </c>
      <c r="I128" s="187">
        <v>28</v>
      </c>
      <c r="J128" s="212">
        <v>9971.1669660629468</v>
      </c>
      <c r="K128" s="217">
        <f t="shared" si="135"/>
        <v>356.11310593081953</v>
      </c>
      <c r="L128" s="34">
        <f t="shared" si="128"/>
        <v>28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388.00745307221098</v>
      </c>
      <c r="N128" s="57">
        <v>0</v>
      </c>
      <c r="O128" s="57">
        <v>0</v>
      </c>
      <c r="P128" s="61">
        <f t="shared" si="129"/>
        <v>28</v>
      </c>
      <c r="Q128" s="40">
        <f t="shared" si="136"/>
        <v>0</v>
      </c>
      <c r="R128" s="40">
        <f t="shared" si="137"/>
        <v>0</v>
      </c>
      <c r="S128" s="44">
        <f t="shared" si="138"/>
        <v>10864.208686021908</v>
      </c>
      <c r="T128" s="35">
        <f t="shared" si="139"/>
        <v>28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421.11060723935333</v>
      </c>
      <c r="V128" s="57">
        <v>0</v>
      </c>
      <c r="W128" s="57">
        <v>0</v>
      </c>
      <c r="X128" s="61">
        <f t="shared" si="130"/>
        <v>28</v>
      </c>
      <c r="Y128" s="40">
        <f t="shared" si="140"/>
        <v>0</v>
      </c>
      <c r="Z128" s="40">
        <f t="shared" si="141"/>
        <v>0</v>
      </c>
      <c r="AA128" s="44">
        <f t="shared" si="142"/>
        <v>11791.097002701894</v>
      </c>
      <c r="AB128" s="35">
        <f t="shared" si="143"/>
        <v>28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456.61090020737146</v>
      </c>
      <c r="AD128" s="57">
        <v>0</v>
      </c>
      <c r="AE128" s="57">
        <v>0</v>
      </c>
      <c r="AF128" s="61">
        <f t="shared" si="131"/>
        <v>28</v>
      </c>
      <c r="AG128" s="40">
        <f t="shared" si="144"/>
        <v>0</v>
      </c>
      <c r="AH128" s="40">
        <f t="shared" si="145"/>
        <v>0</v>
      </c>
      <c r="AI128" s="44">
        <f t="shared" si="146"/>
        <v>12785.105205806402</v>
      </c>
      <c r="AJ128" s="35">
        <f t="shared" si="132"/>
        <v>28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494.17775233361249</v>
      </c>
      <c r="AL128" s="57">
        <v>0</v>
      </c>
      <c r="AM128" s="57">
        <v>0</v>
      </c>
      <c r="AN128" s="61">
        <f t="shared" si="133"/>
        <v>28</v>
      </c>
      <c r="AO128" s="40">
        <f t="shared" si="147"/>
        <v>0</v>
      </c>
      <c r="AP128" s="40">
        <f t="shared" si="148"/>
        <v>0</v>
      </c>
      <c r="AQ128" s="44">
        <f t="shared" si="149"/>
        <v>13836.977065341151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33</v>
      </c>
      <c r="G129" s="35">
        <f>SUMIFS(WORKING!$AC$3:$AC$6802,WORKING!$A$3:$A$6802,Results!$D$3,WORKING!$B$3:$B$6802,Results!A129,WORKING!$C$3:$C$6802,Results!C129)/1000</f>
        <v>16134.063929999998</v>
      </c>
      <c r="H129" s="35">
        <f t="shared" si="134"/>
        <v>488.91102818181815</v>
      </c>
      <c r="I129" s="187">
        <v>33</v>
      </c>
      <c r="J129" s="212">
        <v>14520.474897594506</v>
      </c>
      <c r="K129" s="217">
        <f t="shared" si="135"/>
        <v>440.01439083619715</v>
      </c>
      <c r="L129" s="34">
        <f t="shared" si="128"/>
        <v>33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479.73251347902601</v>
      </c>
      <c r="N129" s="57">
        <v>0</v>
      </c>
      <c r="O129" s="57">
        <v>0</v>
      </c>
      <c r="P129" s="61">
        <f t="shared" si="129"/>
        <v>33</v>
      </c>
      <c r="Q129" s="40">
        <f t="shared" si="136"/>
        <v>0</v>
      </c>
      <c r="R129" s="40">
        <f t="shared" si="137"/>
        <v>0</v>
      </c>
      <c r="S129" s="44">
        <f t="shared" si="138"/>
        <v>15831.172944807859</v>
      </c>
      <c r="T129" s="35">
        <f t="shared" si="139"/>
        <v>33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520.75590539464133</v>
      </c>
      <c r="V129" s="57">
        <v>0</v>
      </c>
      <c r="W129" s="57">
        <v>0</v>
      </c>
      <c r="X129" s="61">
        <f t="shared" si="130"/>
        <v>33</v>
      </c>
      <c r="Y129" s="40">
        <f t="shared" si="140"/>
        <v>0</v>
      </c>
      <c r="Z129" s="40">
        <f t="shared" si="141"/>
        <v>0</v>
      </c>
      <c r="AA129" s="44">
        <f t="shared" si="142"/>
        <v>17184.944878023165</v>
      </c>
      <c r="AB129" s="35">
        <f t="shared" si="143"/>
        <v>33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564.75915229639816</v>
      </c>
      <c r="AD129" s="57">
        <v>0</v>
      </c>
      <c r="AE129" s="57">
        <v>0</v>
      </c>
      <c r="AF129" s="61">
        <f t="shared" si="131"/>
        <v>33</v>
      </c>
      <c r="AG129" s="40">
        <f t="shared" si="144"/>
        <v>0</v>
      </c>
      <c r="AH129" s="40">
        <f t="shared" si="145"/>
        <v>0</v>
      </c>
      <c r="AI129" s="44">
        <f t="shared" si="146"/>
        <v>18637.05202578114</v>
      </c>
      <c r="AJ129" s="35">
        <f t="shared" si="132"/>
        <v>33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611.33499832528776</v>
      </c>
      <c r="AL129" s="57">
        <v>0</v>
      </c>
      <c r="AM129" s="57">
        <v>0</v>
      </c>
      <c r="AN129" s="61">
        <f t="shared" si="133"/>
        <v>33</v>
      </c>
      <c r="AO129" s="40">
        <f t="shared" si="147"/>
        <v>0</v>
      </c>
      <c r="AP129" s="40">
        <f t="shared" si="148"/>
        <v>0</v>
      </c>
      <c r="AQ129" s="44">
        <f t="shared" si="149"/>
        <v>20174.054944734497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17</v>
      </c>
      <c r="G130" s="35">
        <f>SUMIFS(WORKING!$AC$3:$AC$6802,WORKING!$A$3:$A$6802,Results!$D$3,WORKING!$B$3:$B$6802,Results!A130,WORKING!$C$3:$C$6802,Results!C130)/1000</f>
        <v>10176.861779999999</v>
      </c>
      <c r="H130" s="35">
        <f t="shared" si="134"/>
        <v>598.63892823529409</v>
      </c>
      <c r="I130" s="187">
        <v>17</v>
      </c>
      <c r="J130" s="212">
        <v>9159.0603987881277</v>
      </c>
      <c r="K130" s="217">
        <f t="shared" si="135"/>
        <v>538.76825875224279</v>
      </c>
      <c r="L130" s="34">
        <f t="shared" si="128"/>
        <v>17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588.08500329765934</v>
      </c>
      <c r="N130" s="57">
        <v>0</v>
      </c>
      <c r="O130" s="57">
        <v>0</v>
      </c>
      <c r="P130" s="61">
        <f t="shared" si="129"/>
        <v>17</v>
      </c>
      <c r="Q130" s="40">
        <f t="shared" si="136"/>
        <v>0</v>
      </c>
      <c r="R130" s="40">
        <f t="shared" si="137"/>
        <v>0</v>
      </c>
      <c r="S130" s="44">
        <f t="shared" si="138"/>
        <v>9997.445056060209</v>
      </c>
      <c r="T130" s="35">
        <f t="shared" si="139"/>
        <v>17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638.33655293644313</v>
      </c>
      <c r="V130" s="57">
        <v>0</v>
      </c>
      <c r="W130" s="57">
        <v>0</v>
      </c>
      <c r="X130" s="61">
        <f t="shared" si="130"/>
        <v>17</v>
      </c>
      <c r="Y130" s="40">
        <f t="shared" si="140"/>
        <v>0</v>
      </c>
      <c r="Z130" s="40">
        <f t="shared" si="141"/>
        <v>0</v>
      </c>
      <c r="AA130" s="44">
        <f t="shared" si="142"/>
        <v>10851.721399919534</v>
      </c>
      <c r="AB130" s="35">
        <f t="shared" si="143"/>
        <v>17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692.23451733279683</v>
      </c>
      <c r="AD130" s="57">
        <v>0</v>
      </c>
      <c r="AE130" s="57">
        <v>0</v>
      </c>
      <c r="AF130" s="61">
        <f t="shared" si="131"/>
        <v>17</v>
      </c>
      <c r="AG130" s="40">
        <f t="shared" si="144"/>
        <v>0</v>
      </c>
      <c r="AH130" s="40">
        <f t="shared" si="145"/>
        <v>0</v>
      </c>
      <c r="AI130" s="44">
        <f t="shared" si="146"/>
        <v>11767.986794657547</v>
      </c>
      <c r="AJ130" s="35">
        <f t="shared" si="132"/>
        <v>17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749.2788987929348</v>
      </c>
      <c r="AL130" s="57">
        <v>0</v>
      </c>
      <c r="AM130" s="57">
        <v>0</v>
      </c>
      <c r="AN130" s="61">
        <f t="shared" si="133"/>
        <v>17</v>
      </c>
      <c r="AO130" s="40">
        <f t="shared" si="147"/>
        <v>0</v>
      </c>
      <c r="AP130" s="40">
        <f t="shared" si="148"/>
        <v>0</v>
      </c>
      <c r="AQ130" s="44">
        <f t="shared" si="149"/>
        <v>12737.741279479891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13</v>
      </c>
      <c r="G131" s="35">
        <f>SUMIFS(WORKING!$AC$3:$AC$6802,WORKING!$A$3:$A$6802,Results!$D$3,WORKING!$B$3:$B$6802,Results!A131,WORKING!$C$3:$C$6802,Results!C131)/1000</f>
        <v>9580.6930800000009</v>
      </c>
      <c r="H131" s="35">
        <f t="shared" si="134"/>
        <v>736.97639076923087</v>
      </c>
      <c r="I131" s="187">
        <v>13</v>
      </c>
      <c r="J131" s="212">
        <v>8622.5153174843908</v>
      </c>
      <c r="K131" s="217">
        <f t="shared" si="135"/>
        <v>663.27040903726083</v>
      </c>
      <c r="L131" s="34">
        <f t="shared" si="128"/>
        <v>13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724.01604076175454</v>
      </c>
      <c r="N131" s="57">
        <v>0</v>
      </c>
      <c r="O131" s="57">
        <v>0</v>
      </c>
      <c r="P131" s="61">
        <f t="shared" si="129"/>
        <v>13</v>
      </c>
      <c r="Q131" s="40">
        <f t="shared" si="136"/>
        <v>0</v>
      </c>
      <c r="R131" s="40">
        <f t="shared" si="137"/>
        <v>0</v>
      </c>
      <c r="S131" s="44">
        <f t="shared" si="138"/>
        <v>9412.2085299028095</v>
      </c>
      <c r="T131" s="35">
        <f t="shared" si="139"/>
        <v>13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785.9180451283346</v>
      </c>
      <c r="V131" s="57">
        <v>0</v>
      </c>
      <c r="W131" s="57">
        <v>0</v>
      </c>
      <c r="X131" s="61">
        <f t="shared" si="130"/>
        <v>13</v>
      </c>
      <c r="Y131" s="40">
        <f t="shared" si="140"/>
        <v>0</v>
      </c>
      <c r="Z131" s="40">
        <f t="shared" si="141"/>
        <v>0</v>
      </c>
      <c r="AA131" s="44">
        <f t="shared" si="142"/>
        <v>10216.934586668351</v>
      </c>
      <c r="AB131" s="35">
        <f t="shared" si="143"/>
        <v>13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852.31525252988274</v>
      </c>
      <c r="AD131" s="57">
        <v>0</v>
      </c>
      <c r="AE131" s="57">
        <v>0</v>
      </c>
      <c r="AF131" s="61">
        <f t="shared" si="131"/>
        <v>13</v>
      </c>
      <c r="AG131" s="40">
        <f t="shared" si="144"/>
        <v>0</v>
      </c>
      <c r="AH131" s="40">
        <f t="shared" si="145"/>
        <v>0</v>
      </c>
      <c r="AI131" s="44">
        <f t="shared" si="146"/>
        <v>11080.098282888475</v>
      </c>
      <c r="AJ131" s="35">
        <f t="shared" si="132"/>
        <v>13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922.59261612872683</v>
      </c>
      <c r="AL131" s="57">
        <v>0</v>
      </c>
      <c r="AM131" s="57">
        <v>0</v>
      </c>
      <c r="AN131" s="61">
        <f t="shared" si="133"/>
        <v>13</v>
      </c>
      <c r="AO131" s="40">
        <f t="shared" si="147"/>
        <v>0</v>
      </c>
      <c r="AP131" s="40">
        <f t="shared" si="148"/>
        <v>0</v>
      </c>
      <c r="AQ131" s="44">
        <f t="shared" si="149"/>
        <v>11993.704009673449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8</v>
      </c>
      <c r="G132" s="35">
        <f>SUMIFS(WORKING!$AC$3:$AC$6802,WORKING!$A$3:$A$6802,Results!$D$3,WORKING!$B$3:$B$6802,Results!A132,WORKING!$C$3:$C$6802,Results!C132)/1000</f>
        <v>7449.6787799999984</v>
      </c>
      <c r="H132" s="35">
        <f t="shared" si="134"/>
        <v>931.2098474999998</v>
      </c>
      <c r="I132" s="187">
        <v>8</v>
      </c>
      <c r="J132" s="212">
        <v>6704.6265708042502</v>
      </c>
      <c r="K132" s="217">
        <f t="shared" si="135"/>
        <v>838.07832135053127</v>
      </c>
      <c r="L132" s="34">
        <f t="shared" si="128"/>
        <v>8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878.02135069177757</v>
      </c>
      <c r="N132" s="57">
        <v>0</v>
      </c>
      <c r="O132" s="57">
        <v>0</v>
      </c>
      <c r="P132" s="61">
        <f t="shared" si="129"/>
        <v>8</v>
      </c>
      <c r="Q132" s="40">
        <f t="shared" si="136"/>
        <v>0</v>
      </c>
      <c r="R132" s="40">
        <f t="shared" si="137"/>
        <v>0</v>
      </c>
      <c r="S132" s="44">
        <f t="shared" si="138"/>
        <v>7024.1708055342206</v>
      </c>
      <c r="T132" s="35">
        <f t="shared" si="139"/>
        <v>8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943.91109355273375</v>
      </c>
      <c r="V132" s="57">
        <v>0</v>
      </c>
      <c r="W132" s="57">
        <v>0</v>
      </c>
      <c r="X132" s="61">
        <f t="shared" si="130"/>
        <v>8</v>
      </c>
      <c r="Y132" s="40">
        <f t="shared" si="140"/>
        <v>0</v>
      </c>
      <c r="Z132" s="40">
        <f t="shared" si="141"/>
        <v>0</v>
      </c>
      <c r="AA132" s="44">
        <f t="shared" si="142"/>
        <v>7551.28874842187</v>
      </c>
      <c r="AB132" s="35">
        <f t="shared" si="143"/>
        <v>8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1013.7881223932048</v>
      </c>
      <c r="AD132" s="57">
        <v>0</v>
      </c>
      <c r="AE132" s="57">
        <v>0</v>
      </c>
      <c r="AF132" s="61">
        <f t="shared" si="131"/>
        <v>8</v>
      </c>
      <c r="AG132" s="40">
        <f t="shared" si="144"/>
        <v>0</v>
      </c>
      <c r="AH132" s="40">
        <f t="shared" si="145"/>
        <v>0</v>
      </c>
      <c r="AI132" s="44">
        <f t="shared" si="146"/>
        <v>8110.3049791456388</v>
      </c>
      <c r="AJ132" s="35">
        <f t="shared" si="132"/>
        <v>8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1086.7817437067524</v>
      </c>
      <c r="AL132" s="57">
        <v>0</v>
      </c>
      <c r="AM132" s="57">
        <v>0</v>
      </c>
      <c r="AN132" s="61">
        <f t="shared" si="133"/>
        <v>8</v>
      </c>
      <c r="AO132" s="40">
        <f t="shared" si="147"/>
        <v>0</v>
      </c>
      <c r="AP132" s="40">
        <f t="shared" si="148"/>
        <v>0</v>
      </c>
      <c r="AQ132" s="44">
        <f t="shared" si="149"/>
        <v>8694.2539496540194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3</v>
      </c>
      <c r="G133" s="35">
        <f>SUMIFS(WORKING!$AC$3:$AC$6802,WORKING!$A$3:$A$6802,Results!$D$3,WORKING!$B$3:$B$6802,Results!A133,WORKING!$C$3:$C$6802,Results!C133)/1000</f>
        <v>3544.1817900000001</v>
      </c>
      <c r="H133" s="35">
        <f t="shared" si="134"/>
        <v>1181.39393</v>
      </c>
      <c r="I133" s="187">
        <v>3</v>
      </c>
      <c r="J133" s="212">
        <v>3189.7234904663337</v>
      </c>
      <c r="K133" s="217">
        <f t="shared" si="135"/>
        <v>1063.2411634887778</v>
      </c>
      <c r="L133" s="34">
        <f t="shared" si="128"/>
        <v>3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1114.1823123523175</v>
      </c>
      <c r="N133" s="57">
        <v>0</v>
      </c>
      <c r="O133" s="57">
        <v>0</v>
      </c>
      <c r="P133" s="61">
        <f t="shared" si="129"/>
        <v>3</v>
      </c>
      <c r="Q133" s="40">
        <f t="shared" si="136"/>
        <v>0</v>
      </c>
      <c r="R133" s="40">
        <f t="shared" si="137"/>
        <v>0</v>
      </c>
      <c r="S133" s="44">
        <f t="shared" si="138"/>
        <v>3342.5469370569526</v>
      </c>
      <c r="T133" s="35">
        <f t="shared" si="139"/>
        <v>3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1198.0812768512276</v>
      </c>
      <c r="V133" s="57">
        <v>0</v>
      </c>
      <c r="W133" s="57">
        <v>0</v>
      </c>
      <c r="X133" s="61">
        <f t="shared" si="130"/>
        <v>3</v>
      </c>
      <c r="Y133" s="40">
        <f t="shared" si="140"/>
        <v>0</v>
      </c>
      <c r="Z133" s="40">
        <f t="shared" si="141"/>
        <v>0</v>
      </c>
      <c r="AA133" s="44">
        <f t="shared" si="142"/>
        <v>3594.2438305536825</v>
      </c>
      <c r="AB133" s="35">
        <f t="shared" si="143"/>
        <v>3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1287.0825360290623</v>
      </c>
      <c r="AD133" s="57">
        <v>0</v>
      </c>
      <c r="AE133" s="57">
        <v>0</v>
      </c>
      <c r="AF133" s="61">
        <f t="shared" si="131"/>
        <v>3</v>
      </c>
      <c r="AG133" s="40">
        <f t="shared" si="144"/>
        <v>0</v>
      </c>
      <c r="AH133" s="40">
        <f t="shared" si="145"/>
        <v>0</v>
      </c>
      <c r="AI133" s="44">
        <f t="shared" si="146"/>
        <v>3861.247608087187</v>
      </c>
      <c r="AJ133" s="35">
        <f t="shared" si="132"/>
        <v>3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1380.0840640987326</v>
      </c>
      <c r="AL133" s="57">
        <v>0</v>
      </c>
      <c r="AM133" s="57">
        <v>0</v>
      </c>
      <c r="AN133" s="61">
        <f t="shared" si="133"/>
        <v>3</v>
      </c>
      <c r="AO133" s="40">
        <f t="shared" si="147"/>
        <v>0</v>
      </c>
      <c r="AP133" s="40">
        <f t="shared" si="148"/>
        <v>0</v>
      </c>
      <c r="AQ133" s="44">
        <f t="shared" si="149"/>
        <v>4140.2521922961978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3</v>
      </c>
      <c r="G134" s="35">
        <f>SUMIFS(WORKING!$AC$3:$AC$6802,WORKING!$A$3:$A$6802,Results!$D$3,WORKING!$B$3:$B$6802,Results!A134,WORKING!$C$3:$C$6802,Results!C134)/1000</f>
        <v>3388.7073800000003</v>
      </c>
      <c r="H134" s="35">
        <f t="shared" si="134"/>
        <v>1129.5691266666668</v>
      </c>
      <c r="I134" s="187">
        <v>3</v>
      </c>
      <c r="J134" s="212">
        <v>3377.7982814540201</v>
      </c>
      <c r="K134" s="217">
        <f t="shared" si="135"/>
        <v>1125.9327604846733</v>
      </c>
      <c r="L134" s="34">
        <f t="shared" si="128"/>
        <v>3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1180.534029284039</v>
      </c>
      <c r="N134" s="57">
        <v>0</v>
      </c>
      <c r="O134" s="57">
        <v>0</v>
      </c>
      <c r="P134" s="61">
        <f t="shared" si="129"/>
        <v>3</v>
      </c>
      <c r="Q134" s="40">
        <f t="shared" si="136"/>
        <v>0</v>
      </c>
      <c r="R134" s="40">
        <f t="shared" si="137"/>
        <v>0</v>
      </c>
      <c r="S134" s="44">
        <f t="shared" si="138"/>
        <v>3541.6020878521167</v>
      </c>
      <c r="T134" s="35">
        <f t="shared" si="139"/>
        <v>3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1270.1356578990992</v>
      </c>
      <c r="V134" s="57">
        <v>0</v>
      </c>
      <c r="W134" s="57">
        <v>0</v>
      </c>
      <c r="X134" s="61">
        <f t="shared" si="130"/>
        <v>3</v>
      </c>
      <c r="Y134" s="40">
        <f t="shared" si="140"/>
        <v>0</v>
      </c>
      <c r="Z134" s="40">
        <f t="shared" si="141"/>
        <v>0</v>
      </c>
      <c r="AA134" s="44">
        <f t="shared" si="142"/>
        <v>3810.4069736972979</v>
      </c>
      <c r="AB134" s="35">
        <f t="shared" si="143"/>
        <v>3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1365.2487947223808</v>
      </c>
      <c r="AD134" s="57">
        <v>0</v>
      </c>
      <c r="AE134" s="57">
        <v>0</v>
      </c>
      <c r="AF134" s="61">
        <f t="shared" si="131"/>
        <v>3</v>
      </c>
      <c r="AG134" s="40">
        <f t="shared" si="144"/>
        <v>0</v>
      </c>
      <c r="AH134" s="40">
        <f t="shared" si="145"/>
        <v>0</v>
      </c>
      <c r="AI134" s="44">
        <f t="shared" si="146"/>
        <v>4095.7463841671424</v>
      </c>
      <c r="AJ134" s="35">
        <f t="shared" si="132"/>
        <v>3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1464.7129529350079</v>
      </c>
      <c r="AL134" s="57">
        <v>0</v>
      </c>
      <c r="AM134" s="57">
        <v>0</v>
      </c>
      <c r="AN134" s="61">
        <f t="shared" si="133"/>
        <v>3</v>
      </c>
      <c r="AO134" s="40">
        <f t="shared" si="147"/>
        <v>0</v>
      </c>
      <c r="AP134" s="40">
        <f t="shared" si="148"/>
        <v>0</v>
      </c>
      <c r="AQ134" s="44">
        <f t="shared" si="149"/>
        <v>4394.138858805024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658</v>
      </c>
      <c r="G140" s="41">
        <f>SUM(G120:G139)</f>
        <v>145722.94399999999</v>
      </c>
      <c r="H140" s="41">
        <f>IFERROR(G140/F140,0)</f>
        <v>221.46344072948327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663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131149.38865894324</v>
      </c>
      <c r="K140" s="41">
        <f>IFERROR(J140/I140,"")</f>
        <v>197.81204925934122</v>
      </c>
      <c r="L140" s="41">
        <f>SUM(L120:L139)</f>
        <v>663</v>
      </c>
      <c r="M140" s="41">
        <f>IFERROR(S140/P140,0)</f>
        <v>214.60577807467939</v>
      </c>
      <c r="N140" s="41">
        <f t="shared" ref="N140:T140" si="151">SUM(N120:N139)</f>
        <v>0</v>
      </c>
      <c r="O140" s="41">
        <f t="shared" si="151"/>
        <v>0</v>
      </c>
      <c r="P140" s="41">
        <f t="shared" si="151"/>
        <v>663</v>
      </c>
      <c r="Q140" s="41">
        <f t="shared" si="151"/>
        <v>0</v>
      </c>
      <c r="R140" s="41">
        <f t="shared" si="151"/>
        <v>0</v>
      </c>
      <c r="S140" s="45">
        <f t="shared" si="151"/>
        <v>142283.63086351243</v>
      </c>
      <c r="T140" s="41">
        <f t="shared" si="151"/>
        <v>663</v>
      </c>
      <c r="U140" s="41">
        <f>IFERROR(AA140/X140,0)</f>
        <v>232.66537034264957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663</v>
      </c>
      <c r="Y140" s="41">
        <f t="shared" si="152"/>
        <v>0</v>
      </c>
      <c r="Z140" s="41">
        <f t="shared" si="152"/>
        <v>0</v>
      </c>
      <c r="AA140" s="45">
        <f t="shared" si="152"/>
        <v>154257.14053717666</v>
      </c>
      <c r="AB140" s="41">
        <f t="shared" si="152"/>
        <v>663</v>
      </c>
      <c r="AC140" s="41">
        <f>IFERROR(AI140/AF140,0)</f>
        <v>252.01067368547501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663</v>
      </c>
      <c r="AG140" s="41">
        <f t="shared" si="153"/>
        <v>0</v>
      </c>
      <c r="AH140" s="41">
        <f t="shared" si="153"/>
        <v>0</v>
      </c>
      <c r="AI140" s="45">
        <f t="shared" si="153"/>
        <v>167083.07665346994</v>
      </c>
      <c r="AJ140" s="41">
        <f t="shared" si="153"/>
        <v>663</v>
      </c>
      <c r="AK140" s="41">
        <f>IFERROR(AQ140/AN140,0)</f>
        <v>272.45542915859119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663</v>
      </c>
      <c r="AO140" s="41">
        <f t="shared" si="154"/>
        <v>0</v>
      </c>
      <c r="AP140" s="41">
        <f t="shared" si="154"/>
        <v>0</v>
      </c>
      <c r="AQ140" s="45">
        <f t="shared" si="154"/>
        <v>180637.94953214595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156788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165114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170860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183845.36000000002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14504.36913648757</v>
      </c>
      <c r="T142" s="39"/>
      <c r="U142" s="39"/>
      <c r="V142" s="53"/>
      <c r="W142" s="53"/>
      <c r="X142" s="110"/>
      <c r="Y142" s="39"/>
      <c r="Z142" s="39"/>
      <c r="AA142" s="54">
        <f>AA141-AA140</f>
        <v>10856.85946282334</v>
      </c>
      <c r="AB142" s="39"/>
      <c r="AC142" s="53"/>
      <c r="AD142" s="53"/>
      <c r="AE142" s="110"/>
      <c r="AF142" s="39"/>
      <c r="AG142" s="39"/>
      <c r="AH142" s="39"/>
      <c r="AI142" s="54">
        <f>AI141-AI140</f>
        <v>3776.923346530064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3207.4104678540607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Trade Promotion and Market Access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2</v>
      </c>
      <c r="G149" s="35">
        <f>SUMIFS(WORKING!$AC$3:$AC$6802,WORKING!$A$3:$A$6802,Results!$D$3,WORKING!$B$3:$B$6802,Results!A149,WORKING!$C$3:$C$6802,Results!C149)/1000</f>
        <v>338.74214999999998</v>
      </c>
      <c r="H149" s="35">
        <f t="shared" ref="H149:H167" si="161">IFERROR(G149/F149,0)</f>
        <v>169.37107499999999</v>
      </c>
      <c r="I149" s="187">
        <v>2</v>
      </c>
      <c r="J149" s="212">
        <v>240</v>
      </c>
      <c r="K149" s="217">
        <f t="shared" ref="K149:K167" si="162">IFERROR(IF(J149="",G149,J149)/IF(I149="",F149,I149),"")</f>
        <v>120</v>
      </c>
      <c r="L149" s="34">
        <f t="shared" si="155"/>
        <v>2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130.12600600005388</v>
      </c>
      <c r="N149" s="57">
        <v>0</v>
      </c>
      <c r="O149" s="57">
        <v>0</v>
      </c>
      <c r="P149" s="61">
        <f t="shared" si="156"/>
        <v>2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260.25201200010775</v>
      </c>
      <c r="T149" s="35">
        <f t="shared" ref="T149:T167" si="166">P149</f>
        <v>2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141.03159869006322</v>
      </c>
      <c r="V149" s="57">
        <v>0</v>
      </c>
      <c r="W149" s="57">
        <v>0</v>
      </c>
      <c r="X149" s="61">
        <f t="shared" si="157"/>
        <v>2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282.06319738012644</v>
      </c>
      <c r="AB149" s="35">
        <f t="shared" ref="AB149:AB167" si="170">X149</f>
        <v>2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152.70854937447464</v>
      </c>
      <c r="AD149" s="57">
        <v>0</v>
      </c>
      <c r="AE149" s="57">
        <v>0</v>
      </c>
      <c r="AF149" s="61">
        <f t="shared" si="158"/>
        <v>2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305.41709874894929</v>
      </c>
      <c r="AJ149" s="35">
        <f t="shared" si="159"/>
        <v>2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165.04346198048015</v>
      </c>
      <c r="AL149" s="57">
        <v>0</v>
      </c>
      <c r="AM149" s="57">
        <v>0</v>
      </c>
      <c r="AN149" s="61">
        <f t="shared" si="160"/>
        <v>2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330.08692396096029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4</v>
      </c>
      <c r="G150" s="35">
        <f>SUMIFS(WORKING!$AC$3:$AC$6802,WORKING!$A$3:$A$6802,Results!$D$3,WORKING!$B$3:$B$6802,Results!A150,WORKING!$C$3:$C$6802,Results!C150)/1000</f>
        <v>585.80472999999984</v>
      </c>
      <c r="H150" s="35">
        <f t="shared" si="161"/>
        <v>146.45118249999996</v>
      </c>
      <c r="I150" s="187">
        <v>3</v>
      </c>
      <c r="J150" s="212">
        <v>400</v>
      </c>
      <c r="K150" s="217">
        <f t="shared" si="162"/>
        <v>133.33333333333334</v>
      </c>
      <c r="L150" s="34">
        <f t="shared" si="155"/>
        <v>3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144.51853421172643</v>
      </c>
      <c r="N150" s="57">
        <v>0</v>
      </c>
      <c r="O150" s="57">
        <v>0</v>
      </c>
      <c r="P150" s="61">
        <f t="shared" si="156"/>
        <v>3</v>
      </c>
      <c r="Q150" s="40">
        <f t="shared" si="163"/>
        <v>0</v>
      </c>
      <c r="R150" s="40">
        <f t="shared" si="164"/>
        <v>0</v>
      </c>
      <c r="S150" s="44">
        <f t="shared" si="165"/>
        <v>433.5556026351793</v>
      </c>
      <c r="T150" s="35">
        <f t="shared" si="166"/>
        <v>3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156.61637393265823</v>
      </c>
      <c r="V150" s="57">
        <v>0</v>
      </c>
      <c r="W150" s="57">
        <v>0</v>
      </c>
      <c r="X150" s="61">
        <f t="shared" si="157"/>
        <v>3</v>
      </c>
      <c r="Y150" s="40">
        <f t="shared" si="167"/>
        <v>0</v>
      </c>
      <c r="Z150" s="40">
        <f t="shared" si="168"/>
        <v>0</v>
      </c>
      <c r="AA150" s="44">
        <f t="shared" si="169"/>
        <v>469.8491217979747</v>
      </c>
      <c r="AB150" s="35">
        <f t="shared" si="170"/>
        <v>3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169.56828663238946</v>
      </c>
      <c r="AD150" s="57">
        <v>0</v>
      </c>
      <c r="AE150" s="57">
        <v>0</v>
      </c>
      <c r="AF150" s="61">
        <f t="shared" si="158"/>
        <v>3</v>
      </c>
      <c r="AG150" s="40">
        <f t="shared" si="171"/>
        <v>0</v>
      </c>
      <c r="AH150" s="40">
        <f t="shared" si="172"/>
        <v>0</v>
      </c>
      <c r="AI150" s="44">
        <f t="shared" si="173"/>
        <v>508.70485989716838</v>
      </c>
      <c r="AJ150" s="35">
        <f t="shared" si="159"/>
        <v>3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183.24775343883493</v>
      </c>
      <c r="AL150" s="57">
        <v>0</v>
      </c>
      <c r="AM150" s="57">
        <v>0</v>
      </c>
      <c r="AN150" s="61">
        <f t="shared" si="160"/>
        <v>3</v>
      </c>
      <c r="AO150" s="40">
        <f t="shared" si="174"/>
        <v>0</v>
      </c>
      <c r="AP150" s="40">
        <f t="shared" si="175"/>
        <v>0</v>
      </c>
      <c r="AQ150" s="44">
        <f t="shared" si="176"/>
        <v>549.7432603165048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155.08853999999999</v>
      </c>
      <c r="H151" s="35">
        <f t="shared" si="161"/>
        <v>0</v>
      </c>
      <c r="I151" s="187">
        <v>1</v>
      </c>
      <c r="J151" s="212">
        <v>155</v>
      </c>
      <c r="K151" s="217">
        <f t="shared" si="162"/>
        <v>155</v>
      </c>
      <c r="L151" s="34">
        <f t="shared" si="155"/>
        <v>1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168.31671016501434</v>
      </c>
      <c r="N151" s="57">
        <v>0</v>
      </c>
      <c r="O151" s="57">
        <v>0</v>
      </c>
      <c r="P151" s="61">
        <f t="shared" si="156"/>
        <v>1</v>
      </c>
      <c r="Q151" s="40">
        <f t="shared" si="163"/>
        <v>0</v>
      </c>
      <c r="R151" s="40">
        <f t="shared" si="164"/>
        <v>0</v>
      </c>
      <c r="S151" s="44">
        <f t="shared" si="165"/>
        <v>168.31671016501434</v>
      </c>
      <c r="T151" s="35">
        <f t="shared" si="166"/>
        <v>1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182.49729539559374</v>
      </c>
      <c r="V151" s="57">
        <v>0</v>
      </c>
      <c r="W151" s="57">
        <v>0</v>
      </c>
      <c r="X151" s="61">
        <f t="shared" si="157"/>
        <v>1</v>
      </c>
      <c r="Y151" s="40">
        <f t="shared" si="167"/>
        <v>0</v>
      </c>
      <c r="Z151" s="40">
        <f t="shared" si="168"/>
        <v>0</v>
      </c>
      <c r="AA151" s="44">
        <f t="shared" si="169"/>
        <v>182.49729539559374</v>
      </c>
      <c r="AB151" s="35">
        <f t="shared" si="170"/>
        <v>1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197.68791567476433</v>
      </c>
      <c r="AD151" s="57">
        <v>0</v>
      </c>
      <c r="AE151" s="57">
        <v>0</v>
      </c>
      <c r="AF151" s="61">
        <f t="shared" si="158"/>
        <v>1</v>
      </c>
      <c r="AG151" s="40">
        <f t="shared" si="171"/>
        <v>0</v>
      </c>
      <c r="AH151" s="40">
        <f t="shared" si="172"/>
        <v>0</v>
      </c>
      <c r="AI151" s="44">
        <f t="shared" si="173"/>
        <v>197.68791567476433</v>
      </c>
      <c r="AJ151" s="35">
        <f t="shared" si="159"/>
        <v>1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213.74288016474864</v>
      </c>
      <c r="AL151" s="57">
        <v>0</v>
      </c>
      <c r="AM151" s="57">
        <v>0</v>
      </c>
      <c r="AN151" s="61">
        <f t="shared" si="160"/>
        <v>1</v>
      </c>
      <c r="AO151" s="40">
        <f t="shared" si="174"/>
        <v>0</v>
      </c>
      <c r="AP151" s="40">
        <f t="shared" si="175"/>
        <v>0</v>
      </c>
      <c r="AQ151" s="44">
        <f t="shared" si="176"/>
        <v>213.74288016474864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5</v>
      </c>
      <c r="G152" s="35">
        <f>SUMIFS(WORKING!$AC$3:$AC$6802,WORKING!$A$3:$A$6802,Results!$D$3,WORKING!$B$3:$B$6802,Results!A152,WORKING!$C$3:$C$6802,Results!C152)/1000</f>
        <v>1305.2437799999998</v>
      </c>
      <c r="H152" s="35">
        <f t="shared" si="161"/>
        <v>261.04875599999997</v>
      </c>
      <c r="I152" s="187">
        <v>5</v>
      </c>
      <c r="J152" s="212">
        <v>1305</v>
      </c>
      <c r="K152" s="217">
        <f t="shared" si="162"/>
        <v>261</v>
      </c>
      <c r="L152" s="34">
        <f t="shared" si="155"/>
        <v>5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283.4450264419558</v>
      </c>
      <c r="N152" s="57">
        <v>0</v>
      </c>
      <c r="O152" s="57">
        <v>0</v>
      </c>
      <c r="P152" s="61">
        <f t="shared" si="156"/>
        <v>5</v>
      </c>
      <c r="Q152" s="40">
        <f t="shared" si="163"/>
        <v>0</v>
      </c>
      <c r="R152" s="40">
        <f t="shared" si="164"/>
        <v>0</v>
      </c>
      <c r="S152" s="44">
        <f t="shared" si="165"/>
        <v>1417.2251322097791</v>
      </c>
      <c r="T152" s="35">
        <f t="shared" si="166"/>
        <v>5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307.33728504290127</v>
      </c>
      <c r="V152" s="57">
        <v>0</v>
      </c>
      <c r="W152" s="57">
        <v>0</v>
      </c>
      <c r="X152" s="61">
        <f t="shared" si="157"/>
        <v>5</v>
      </c>
      <c r="Y152" s="40">
        <f t="shared" si="167"/>
        <v>0</v>
      </c>
      <c r="Z152" s="40">
        <f t="shared" si="168"/>
        <v>0</v>
      </c>
      <c r="AA152" s="44">
        <f t="shared" si="169"/>
        <v>1536.6864252145065</v>
      </c>
      <c r="AB152" s="35">
        <f t="shared" si="170"/>
        <v>5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332.93222221462781</v>
      </c>
      <c r="AD152" s="57">
        <v>0</v>
      </c>
      <c r="AE152" s="57">
        <v>0</v>
      </c>
      <c r="AF152" s="61">
        <f t="shared" si="158"/>
        <v>5</v>
      </c>
      <c r="AG152" s="40">
        <f t="shared" si="171"/>
        <v>0</v>
      </c>
      <c r="AH152" s="40">
        <f t="shared" si="172"/>
        <v>0</v>
      </c>
      <c r="AI152" s="44">
        <f t="shared" si="173"/>
        <v>1664.6611110731392</v>
      </c>
      <c r="AJ152" s="35">
        <f t="shared" si="159"/>
        <v>5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359.98433969403686</v>
      </c>
      <c r="AL152" s="57">
        <v>0</v>
      </c>
      <c r="AM152" s="57">
        <v>0</v>
      </c>
      <c r="AN152" s="61">
        <f t="shared" si="160"/>
        <v>5</v>
      </c>
      <c r="AO152" s="40">
        <f t="shared" si="174"/>
        <v>0</v>
      </c>
      <c r="AP152" s="40">
        <f t="shared" si="175"/>
        <v>0</v>
      </c>
      <c r="AQ152" s="44">
        <f t="shared" si="176"/>
        <v>1799.9216984701843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5</v>
      </c>
      <c r="G153" s="35">
        <f>SUMIFS(WORKING!$AC$3:$AC$6802,WORKING!$A$3:$A$6802,Results!$D$3,WORKING!$B$3:$B$6802,Results!A153,WORKING!$C$3:$C$6802,Results!C153)/1000</f>
        <v>1490.1398399999998</v>
      </c>
      <c r="H153" s="35">
        <f t="shared" si="161"/>
        <v>298.02796799999999</v>
      </c>
      <c r="I153" s="187">
        <v>5</v>
      </c>
      <c r="J153" s="212">
        <v>1490</v>
      </c>
      <c r="K153" s="217">
        <f t="shared" si="162"/>
        <v>298</v>
      </c>
      <c r="L153" s="34">
        <f t="shared" si="155"/>
        <v>5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324.0831263042835</v>
      </c>
      <c r="N153" s="57">
        <v>0</v>
      </c>
      <c r="O153" s="57">
        <v>0</v>
      </c>
      <c r="P153" s="61">
        <f t="shared" si="156"/>
        <v>5</v>
      </c>
      <c r="Q153" s="40">
        <f t="shared" si="163"/>
        <v>0</v>
      </c>
      <c r="R153" s="40">
        <f t="shared" si="164"/>
        <v>0</v>
      </c>
      <c r="S153" s="44">
        <f t="shared" si="165"/>
        <v>1620.4156315214175</v>
      </c>
      <c r="T153" s="35">
        <f t="shared" si="166"/>
        <v>5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351.54684868272875</v>
      </c>
      <c r="V153" s="57">
        <v>0</v>
      </c>
      <c r="W153" s="57">
        <v>0</v>
      </c>
      <c r="X153" s="61">
        <f t="shared" si="157"/>
        <v>5</v>
      </c>
      <c r="Y153" s="40">
        <f t="shared" si="167"/>
        <v>0</v>
      </c>
      <c r="Z153" s="40">
        <f t="shared" si="168"/>
        <v>0</v>
      </c>
      <c r="AA153" s="44">
        <f t="shared" si="169"/>
        <v>1757.7342434136438</v>
      </c>
      <c r="AB153" s="35">
        <f t="shared" si="170"/>
        <v>5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380.98149548463891</v>
      </c>
      <c r="AD153" s="57">
        <v>0</v>
      </c>
      <c r="AE153" s="57">
        <v>0</v>
      </c>
      <c r="AF153" s="61">
        <f t="shared" si="158"/>
        <v>5</v>
      </c>
      <c r="AG153" s="40">
        <f t="shared" si="171"/>
        <v>0</v>
      </c>
      <c r="AH153" s="40">
        <f t="shared" si="172"/>
        <v>0</v>
      </c>
      <c r="AI153" s="44">
        <f t="shared" si="173"/>
        <v>1904.9074774231945</v>
      </c>
      <c r="AJ153" s="35">
        <f t="shared" si="159"/>
        <v>5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412.10812887418837</v>
      </c>
      <c r="AL153" s="57">
        <v>0</v>
      </c>
      <c r="AM153" s="57">
        <v>0</v>
      </c>
      <c r="AN153" s="61">
        <f t="shared" si="160"/>
        <v>5</v>
      </c>
      <c r="AO153" s="40">
        <f t="shared" si="174"/>
        <v>0</v>
      </c>
      <c r="AP153" s="40">
        <f t="shared" si="175"/>
        <v>0</v>
      </c>
      <c r="AQ153" s="44">
        <f t="shared" si="176"/>
        <v>2060.5406443709417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16</v>
      </c>
      <c r="G154" s="35">
        <f>SUMIFS(WORKING!$AC$3:$AC$6802,WORKING!$A$3:$A$6802,Results!$D$3,WORKING!$B$3:$B$6802,Results!A154,WORKING!$C$3:$C$6802,Results!C154)/1000</f>
        <v>4277.5775599999997</v>
      </c>
      <c r="H154" s="35">
        <f t="shared" si="161"/>
        <v>267.34859749999998</v>
      </c>
      <c r="I154" s="187">
        <v>16</v>
      </c>
      <c r="J154" s="212">
        <v>5440</v>
      </c>
      <c r="K154" s="217">
        <f t="shared" si="162"/>
        <v>340</v>
      </c>
      <c r="L154" s="34">
        <f t="shared" si="155"/>
        <v>16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370.0244300633297</v>
      </c>
      <c r="N154" s="57">
        <v>0</v>
      </c>
      <c r="O154" s="57">
        <v>0</v>
      </c>
      <c r="P154" s="61">
        <f t="shared" si="156"/>
        <v>16</v>
      </c>
      <c r="Q154" s="40">
        <f t="shared" si="163"/>
        <v>0</v>
      </c>
      <c r="R154" s="40">
        <f t="shared" si="164"/>
        <v>0</v>
      </c>
      <c r="S154" s="44">
        <f t="shared" si="165"/>
        <v>5920.3908810132752</v>
      </c>
      <c r="T154" s="35">
        <f t="shared" si="166"/>
        <v>16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401.45793364595573</v>
      </c>
      <c r="V154" s="57">
        <v>0</v>
      </c>
      <c r="W154" s="57">
        <v>0</v>
      </c>
      <c r="X154" s="61">
        <f t="shared" si="157"/>
        <v>16</v>
      </c>
      <c r="Y154" s="40">
        <f t="shared" si="167"/>
        <v>0</v>
      </c>
      <c r="Z154" s="40">
        <f t="shared" si="168"/>
        <v>0</v>
      </c>
      <c r="AA154" s="44">
        <f t="shared" si="169"/>
        <v>6423.3269383352917</v>
      </c>
      <c r="AB154" s="35">
        <f t="shared" si="170"/>
        <v>16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435.15487222743394</v>
      </c>
      <c r="AD154" s="57">
        <v>0</v>
      </c>
      <c r="AE154" s="57">
        <v>0</v>
      </c>
      <c r="AF154" s="61">
        <f t="shared" si="158"/>
        <v>16</v>
      </c>
      <c r="AG154" s="40">
        <f t="shared" si="171"/>
        <v>0</v>
      </c>
      <c r="AH154" s="40">
        <f t="shared" si="172"/>
        <v>0</v>
      </c>
      <c r="AI154" s="44">
        <f t="shared" si="173"/>
        <v>6962.4779556389431</v>
      </c>
      <c r="AJ154" s="35">
        <f t="shared" si="159"/>
        <v>16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470.79824431718799</v>
      </c>
      <c r="AL154" s="57">
        <v>0</v>
      </c>
      <c r="AM154" s="57">
        <v>0</v>
      </c>
      <c r="AN154" s="61">
        <f t="shared" si="160"/>
        <v>16</v>
      </c>
      <c r="AO154" s="40">
        <f t="shared" si="174"/>
        <v>0</v>
      </c>
      <c r="AP154" s="40">
        <f t="shared" si="175"/>
        <v>0</v>
      </c>
      <c r="AQ154" s="44">
        <f t="shared" si="176"/>
        <v>7532.7719090750079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26</v>
      </c>
      <c r="G155" s="35">
        <f>SUMIFS(WORKING!$AC$3:$AC$6802,WORKING!$A$3:$A$6802,Results!$D$3,WORKING!$B$3:$B$6802,Results!A155,WORKING!$C$3:$C$6802,Results!C155)/1000</f>
        <v>9277.8400999999994</v>
      </c>
      <c r="H155" s="35">
        <f t="shared" si="161"/>
        <v>356.84000384615382</v>
      </c>
      <c r="I155" s="187">
        <v>26</v>
      </c>
      <c r="J155" s="212">
        <v>9278</v>
      </c>
      <c r="K155" s="217">
        <f t="shared" si="162"/>
        <v>356.84615384615387</v>
      </c>
      <c r="L155" s="34">
        <f t="shared" si="155"/>
        <v>26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388.50497233850916</v>
      </c>
      <c r="N155" s="57">
        <v>0</v>
      </c>
      <c r="O155" s="57">
        <v>0</v>
      </c>
      <c r="P155" s="61">
        <f t="shared" si="156"/>
        <v>26</v>
      </c>
      <c r="Q155" s="40">
        <f t="shared" si="163"/>
        <v>0</v>
      </c>
      <c r="R155" s="40">
        <f t="shared" si="164"/>
        <v>0</v>
      </c>
      <c r="S155" s="44">
        <f t="shared" si="165"/>
        <v>10101.129280801239</v>
      </c>
      <c r="T155" s="35">
        <f t="shared" si="166"/>
        <v>26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421.55666861615964</v>
      </c>
      <c r="V155" s="57">
        <v>0</v>
      </c>
      <c r="W155" s="57">
        <v>0</v>
      </c>
      <c r="X155" s="61">
        <f t="shared" si="157"/>
        <v>26</v>
      </c>
      <c r="Y155" s="40">
        <f t="shared" si="167"/>
        <v>0</v>
      </c>
      <c r="Z155" s="40">
        <f t="shared" si="168"/>
        <v>0</v>
      </c>
      <c r="AA155" s="44">
        <f t="shared" si="169"/>
        <v>10960.473384020152</v>
      </c>
      <c r="AB155" s="35">
        <f t="shared" si="170"/>
        <v>26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456.99281301995705</v>
      </c>
      <c r="AD155" s="57">
        <v>0</v>
      </c>
      <c r="AE155" s="57">
        <v>0</v>
      </c>
      <c r="AF155" s="61">
        <f t="shared" si="158"/>
        <v>26</v>
      </c>
      <c r="AG155" s="40">
        <f t="shared" si="171"/>
        <v>0</v>
      </c>
      <c r="AH155" s="40">
        <f t="shared" si="172"/>
        <v>0</v>
      </c>
      <c r="AI155" s="44">
        <f t="shared" si="173"/>
        <v>11881.813138518883</v>
      </c>
      <c r="AJ155" s="35">
        <f t="shared" si="159"/>
        <v>26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494.48108580989731</v>
      </c>
      <c r="AL155" s="57">
        <v>0</v>
      </c>
      <c r="AM155" s="57">
        <v>0</v>
      </c>
      <c r="AN155" s="61">
        <f t="shared" si="160"/>
        <v>26</v>
      </c>
      <c r="AO155" s="40">
        <f t="shared" si="174"/>
        <v>0</v>
      </c>
      <c r="AP155" s="40">
        <f t="shared" si="175"/>
        <v>0</v>
      </c>
      <c r="AQ155" s="44">
        <f t="shared" si="176"/>
        <v>12856.508231057331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24</v>
      </c>
      <c r="G156" s="35">
        <f>SUMIFS(WORKING!$AC$3:$AC$6802,WORKING!$A$3:$A$6802,Results!$D$3,WORKING!$B$3:$B$6802,Results!A156,WORKING!$C$3:$C$6802,Results!C156)/1000</f>
        <v>9994.7805499999995</v>
      </c>
      <c r="H156" s="35">
        <f t="shared" si="161"/>
        <v>416.44918958333329</v>
      </c>
      <c r="I156" s="187">
        <v>24</v>
      </c>
      <c r="J156" s="212">
        <v>9995</v>
      </c>
      <c r="K156" s="217">
        <f t="shared" si="162"/>
        <v>416.45833333333331</v>
      </c>
      <c r="L156" s="34">
        <f t="shared" si="155"/>
        <v>24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453.77753447785648</v>
      </c>
      <c r="N156" s="57">
        <v>0</v>
      </c>
      <c r="O156" s="57">
        <v>0</v>
      </c>
      <c r="P156" s="61">
        <f t="shared" si="156"/>
        <v>24</v>
      </c>
      <c r="Q156" s="40">
        <f t="shared" si="163"/>
        <v>0</v>
      </c>
      <c r="R156" s="40">
        <f t="shared" si="164"/>
        <v>0</v>
      </c>
      <c r="S156" s="44">
        <f t="shared" si="165"/>
        <v>10890.660827468555</v>
      </c>
      <c r="T156" s="35">
        <f t="shared" si="166"/>
        <v>24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492.49754930852953</v>
      </c>
      <c r="V156" s="57">
        <v>0</v>
      </c>
      <c r="W156" s="57">
        <v>0</v>
      </c>
      <c r="X156" s="61">
        <f t="shared" si="157"/>
        <v>24</v>
      </c>
      <c r="Y156" s="40">
        <f t="shared" si="167"/>
        <v>0</v>
      </c>
      <c r="Z156" s="40">
        <f t="shared" si="168"/>
        <v>0</v>
      </c>
      <c r="AA156" s="44">
        <f t="shared" si="169"/>
        <v>11819.94118340471</v>
      </c>
      <c r="AB156" s="35">
        <f t="shared" si="170"/>
        <v>24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534.02201833303752</v>
      </c>
      <c r="AD156" s="57">
        <v>0</v>
      </c>
      <c r="AE156" s="57">
        <v>0</v>
      </c>
      <c r="AF156" s="61">
        <f t="shared" si="158"/>
        <v>24</v>
      </c>
      <c r="AG156" s="40">
        <f t="shared" si="171"/>
        <v>0</v>
      </c>
      <c r="AH156" s="40">
        <f t="shared" si="172"/>
        <v>0</v>
      </c>
      <c r="AI156" s="44">
        <f t="shared" si="173"/>
        <v>12816.528439992901</v>
      </c>
      <c r="AJ156" s="35">
        <f t="shared" si="159"/>
        <v>24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577.96445291299392</v>
      </c>
      <c r="AL156" s="57">
        <v>0</v>
      </c>
      <c r="AM156" s="57">
        <v>0</v>
      </c>
      <c r="AN156" s="61">
        <f t="shared" si="160"/>
        <v>24</v>
      </c>
      <c r="AO156" s="40">
        <f t="shared" si="174"/>
        <v>0</v>
      </c>
      <c r="AP156" s="40">
        <f t="shared" si="175"/>
        <v>0</v>
      </c>
      <c r="AQ156" s="44">
        <f t="shared" si="176"/>
        <v>13871.146869911854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17</v>
      </c>
      <c r="G157" s="35">
        <f>SUMIFS(WORKING!$AC$3:$AC$6802,WORKING!$A$3:$A$6802,Results!$D$3,WORKING!$B$3:$B$6802,Results!A157,WORKING!$C$3:$C$6802,Results!C157)/1000</f>
        <v>9150.5210399999996</v>
      </c>
      <c r="H157" s="35">
        <f t="shared" si="161"/>
        <v>538.26594352941174</v>
      </c>
      <c r="I157" s="187">
        <v>17</v>
      </c>
      <c r="J157" s="212">
        <v>9151</v>
      </c>
      <c r="K157" s="217">
        <f t="shared" si="162"/>
        <v>538.29411764705878</v>
      </c>
      <c r="L157" s="34">
        <f t="shared" si="155"/>
        <v>17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586.85387651920348</v>
      </c>
      <c r="N157" s="57">
        <v>0</v>
      </c>
      <c r="O157" s="57">
        <v>0</v>
      </c>
      <c r="P157" s="61">
        <f t="shared" si="156"/>
        <v>17</v>
      </c>
      <c r="Q157" s="40">
        <f t="shared" si="163"/>
        <v>0</v>
      </c>
      <c r="R157" s="40">
        <f t="shared" si="164"/>
        <v>0</v>
      </c>
      <c r="S157" s="44">
        <f t="shared" si="165"/>
        <v>9976.51590082646</v>
      </c>
      <c r="T157" s="35">
        <f t="shared" si="166"/>
        <v>17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637.02828818991384</v>
      </c>
      <c r="V157" s="57">
        <v>0</v>
      </c>
      <c r="W157" s="57">
        <v>0</v>
      </c>
      <c r="X157" s="61">
        <f t="shared" si="157"/>
        <v>17</v>
      </c>
      <c r="Y157" s="40">
        <f t="shared" si="167"/>
        <v>0</v>
      </c>
      <c r="Z157" s="40">
        <f t="shared" si="168"/>
        <v>0</v>
      </c>
      <c r="AA157" s="44">
        <f t="shared" si="169"/>
        <v>10829.480899228536</v>
      </c>
      <c r="AB157" s="35">
        <f t="shared" si="170"/>
        <v>17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690.84637982070922</v>
      </c>
      <c r="AD157" s="57">
        <v>0</v>
      </c>
      <c r="AE157" s="57">
        <v>0</v>
      </c>
      <c r="AF157" s="61">
        <f t="shared" si="158"/>
        <v>17</v>
      </c>
      <c r="AG157" s="40">
        <f t="shared" si="171"/>
        <v>0</v>
      </c>
      <c r="AH157" s="40">
        <f t="shared" si="172"/>
        <v>0</v>
      </c>
      <c r="AI157" s="44">
        <f t="shared" si="173"/>
        <v>11744.388456952056</v>
      </c>
      <c r="AJ157" s="35">
        <f t="shared" si="159"/>
        <v>17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747.80982780679119</v>
      </c>
      <c r="AL157" s="57">
        <v>0</v>
      </c>
      <c r="AM157" s="57">
        <v>0</v>
      </c>
      <c r="AN157" s="61">
        <f t="shared" si="160"/>
        <v>17</v>
      </c>
      <c r="AO157" s="40">
        <f t="shared" si="174"/>
        <v>0</v>
      </c>
      <c r="AP157" s="40">
        <f t="shared" si="175"/>
        <v>0</v>
      </c>
      <c r="AQ157" s="44">
        <f t="shared" si="176"/>
        <v>12712.767072715451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10</v>
      </c>
      <c r="G158" s="35">
        <f>SUMIFS(WORKING!$AC$3:$AC$6802,WORKING!$A$3:$A$6802,Results!$D$3,WORKING!$B$3:$B$6802,Results!A158,WORKING!$C$3:$C$6802,Results!C158)/1000</f>
        <v>7631.062289999998</v>
      </c>
      <c r="H158" s="35">
        <f t="shared" si="161"/>
        <v>763.10622899999976</v>
      </c>
      <c r="I158" s="187">
        <v>10</v>
      </c>
      <c r="J158" s="212">
        <v>7031</v>
      </c>
      <c r="K158" s="217">
        <f t="shared" si="162"/>
        <v>703.1</v>
      </c>
      <c r="L158" s="34">
        <f t="shared" si="155"/>
        <v>10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767.50973925880612</v>
      </c>
      <c r="N158" s="57">
        <v>0</v>
      </c>
      <c r="O158" s="57">
        <v>0</v>
      </c>
      <c r="P158" s="61">
        <f t="shared" si="156"/>
        <v>10</v>
      </c>
      <c r="Q158" s="40">
        <f t="shared" si="163"/>
        <v>0</v>
      </c>
      <c r="R158" s="40">
        <f t="shared" si="164"/>
        <v>0</v>
      </c>
      <c r="S158" s="44">
        <f t="shared" si="165"/>
        <v>7675.0973925880608</v>
      </c>
      <c r="T158" s="35">
        <f t="shared" si="166"/>
        <v>10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833.14808165950024</v>
      </c>
      <c r="V158" s="57">
        <v>0</v>
      </c>
      <c r="W158" s="57">
        <v>0</v>
      </c>
      <c r="X158" s="61">
        <f t="shared" si="157"/>
        <v>10</v>
      </c>
      <c r="Y158" s="40">
        <f t="shared" si="167"/>
        <v>0</v>
      </c>
      <c r="Z158" s="40">
        <f t="shared" si="168"/>
        <v>0</v>
      </c>
      <c r="AA158" s="44">
        <f t="shared" si="169"/>
        <v>8331.4808165950017</v>
      </c>
      <c r="AB158" s="35">
        <f t="shared" si="170"/>
        <v>10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903.55465933900666</v>
      </c>
      <c r="AD158" s="57">
        <v>0</v>
      </c>
      <c r="AE158" s="57">
        <v>0</v>
      </c>
      <c r="AF158" s="61">
        <f t="shared" si="158"/>
        <v>10</v>
      </c>
      <c r="AG158" s="40">
        <f t="shared" si="171"/>
        <v>0</v>
      </c>
      <c r="AH158" s="40">
        <f t="shared" si="172"/>
        <v>0</v>
      </c>
      <c r="AI158" s="44">
        <f t="shared" si="173"/>
        <v>9035.5465933900668</v>
      </c>
      <c r="AJ158" s="35">
        <f t="shared" si="159"/>
        <v>10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978.07774024388209</v>
      </c>
      <c r="AL158" s="57">
        <v>0</v>
      </c>
      <c r="AM158" s="57">
        <v>0</v>
      </c>
      <c r="AN158" s="61">
        <f t="shared" si="160"/>
        <v>10</v>
      </c>
      <c r="AO158" s="40">
        <f t="shared" si="174"/>
        <v>0</v>
      </c>
      <c r="AP158" s="40">
        <f t="shared" si="175"/>
        <v>0</v>
      </c>
      <c r="AQ158" s="44">
        <f t="shared" si="176"/>
        <v>9780.77740243882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16</v>
      </c>
      <c r="G159" s="35">
        <f>SUMIFS(WORKING!$AC$3:$AC$6802,WORKING!$A$3:$A$6802,Results!$D$3,WORKING!$B$3:$B$6802,Results!A159,WORKING!$C$3:$C$6802,Results!C159)/1000</f>
        <v>10779.159470000001</v>
      </c>
      <c r="H159" s="35">
        <f t="shared" si="161"/>
        <v>673.69746687500003</v>
      </c>
      <c r="I159" s="187">
        <v>16</v>
      </c>
      <c r="J159" s="212">
        <v>12564</v>
      </c>
      <c r="K159" s="217">
        <f t="shared" si="162"/>
        <v>785.25</v>
      </c>
      <c r="L159" s="34">
        <f t="shared" si="155"/>
        <v>16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857.08722638711151</v>
      </c>
      <c r="N159" s="57">
        <v>0</v>
      </c>
      <c r="O159" s="57">
        <v>0</v>
      </c>
      <c r="P159" s="61">
        <f t="shared" si="156"/>
        <v>16</v>
      </c>
      <c r="Q159" s="40">
        <f t="shared" si="163"/>
        <v>0</v>
      </c>
      <c r="R159" s="40">
        <f t="shared" si="164"/>
        <v>0</v>
      </c>
      <c r="S159" s="44">
        <f t="shared" si="165"/>
        <v>13713.395622193784</v>
      </c>
      <c r="T159" s="35">
        <f t="shared" si="166"/>
        <v>16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930.27983367888703</v>
      </c>
      <c r="V159" s="57">
        <v>0</v>
      </c>
      <c r="W159" s="57">
        <v>0</v>
      </c>
      <c r="X159" s="61">
        <f t="shared" si="157"/>
        <v>16</v>
      </c>
      <c r="Y159" s="40">
        <f t="shared" si="167"/>
        <v>0</v>
      </c>
      <c r="Z159" s="40">
        <f t="shared" si="168"/>
        <v>0</v>
      </c>
      <c r="AA159" s="44">
        <f t="shared" si="169"/>
        <v>14884.477338862192</v>
      </c>
      <c r="AB159" s="35">
        <f t="shared" si="170"/>
        <v>16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1008.7791978001795</v>
      </c>
      <c r="AD159" s="57">
        <v>0</v>
      </c>
      <c r="AE159" s="57">
        <v>0</v>
      </c>
      <c r="AF159" s="61">
        <f t="shared" si="158"/>
        <v>16</v>
      </c>
      <c r="AG159" s="40">
        <f t="shared" si="171"/>
        <v>0</v>
      </c>
      <c r="AH159" s="40">
        <f t="shared" si="172"/>
        <v>0</v>
      </c>
      <c r="AI159" s="44">
        <f t="shared" si="173"/>
        <v>16140.467164802873</v>
      </c>
      <c r="AJ159" s="35">
        <f t="shared" si="159"/>
        <v>16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1091.8559463731299</v>
      </c>
      <c r="AL159" s="57">
        <v>0</v>
      </c>
      <c r="AM159" s="57">
        <v>0</v>
      </c>
      <c r="AN159" s="61">
        <f t="shared" si="160"/>
        <v>16</v>
      </c>
      <c r="AO159" s="40">
        <f t="shared" si="174"/>
        <v>0</v>
      </c>
      <c r="AP159" s="40">
        <f t="shared" si="175"/>
        <v>0</v>
      </c>
      <c r="AQ159" s="44">
        <f t="shared" si="176"/>
        <v>17469.695141970078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7</v>
      </c>
      <c r="G160" s="35">
        <f>SUMIFS(WORKING!$AC$3:$AC$6802,WORKING!$A$3:$A$6802,Results!$D$3,WORKING!$B$3:$B$6802,Results!A160,WORKING!$C$3:$C$6802,Results!C160)/1000</f>
        <v>6900.2868899999994</v>
      </c>
      <c r="H160" s="35">
        <f t="shared" si="161"/>
        <v>985.75526999999988</v>
      </c>
      <c r="I160" s="187">
        <v>7</v>
      </c>
      <c r="J160" s="212">
        <v>6900</v>
      </c>
      <c r="K160" s="217">
        <f t="shared" si="162"/>
        <v>985.71428571428567</v>
      </c>
      <c r="L160" s="34">
        <f t="shared" si="155"/>
        <v>7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1032.6199396443631</v>
      </c>
      <c r="N160" s="57">
        <v>0</v>
      </c>
      <c r="O160" s="57">
        <v>0</v>
      </c>
      <c r="P160" s="61">
        <f t="shared" si="156"/>
        <v>7</v>
      </c>
      <c r="Q160" s="40">
        <f t="shared" si="163"/>
        <v>0</v>
      </c>
      <c r="R160" s="40">
        <f t="shared" si="164"/>
        <v>0</v>
      </c>
      <c r="S160" s="44">
        <f t="shared" si="165"/>
        <v>7228.3395775105419</v>
      </c>
      <c r="T160" s="35">
        <f t="shared" si="166"/>
        <v>7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1110.0320205611026</v>
      </c>
      <c r="V160" s="57">
        <v>0</v>
      </c>
      <c r="W160" s="57">
        <v>0</v>
      </c>
      <c r="X160" s="61">
        <f t="shared" si="157"/>
        <v>7</v>
      </c>
      <c r="Y160" s="40">
        <f t="shared" si="167"/>
        <v>0</v>
      </c>
      <c r="Z160" s="40">
        <f t="shared" si="168"/>
        <v>0</v>
      </c>
      <c r="AA160" s="44">
        <f t="shared" si="169"/>
        <v>7770.2241439277186</v>
      </c>
      <c r="AB160" s="35">
        <f t="shared" si="170"/>
        <v>7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1192.1217224814227</v>
      </c>
      <c r="AD160" s="57">
        <v>0</v>
      </c>
      <c r="AE160" s="57">
        <v>0</v>
      </c>
      <c r="AF160" s="61">
        <f t="shared" si="158"/>
        <v>7</v>
      </c>
      <c r="AG160" s="40">
        <f t="shared" si="171"/>
        <v>0</v>
      </c>
      <c r="AH160" s="40">
        <f t="shared" si="172"/>
        <v>0</v>
      </c>
      <c r="AI160" s="44">
        <f t="shared" si="173"/>
        <v>8344.8520573699589</v>
      </c>
      <c r="AJ160" s="35">
        <f t="shared" si="159"/>
        <v>7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1277.8642596641819</v>
      </c>
      <c r="AL160" s="57">
        <v>0</v>
      </c>
      <c r="AM160" s="57">
        <v>0</v>
      </c>
      <c r="AN160" s="61">
        <f t="shared" si="160"/>
        <v>7</v>
      </c>
      <c r="AO160" s="40">
        <f t="shared" si="174"/>
        <v>0</v>
      </c>
      <c r="AP160" s="40">
        <f t="shared" si="175"/>
        <v>0</v>
      </c>
      <c r="AQ160" s="44">
        <f t="shared" si="176"/>
        <v>8945.0498176492729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9</v>
      </c>
      <c r="G161" s="35">
        <f>SUMIFS(WORKING!$AC$3:$AC$6802,WORKING!$A$3:$A$6802,Results!$D$3,WORKING!$B$3:$B$6802,Results!A161,WORKING!$C$3:$C$6802,Results!C161)/1000</f>
        <v>9622.3209000000006</v>
      </c>
      <c r="H161" s="35">
        <f t="shared" si="161"/>
        <v>1069.1467666666667</v>
      </c>
      <c r="I161" s="187">
        <v>9</v>
      </c>
      <c r="J161" s="212">
        <v>20922</v>
      </c>
      <c r="K161" s="217">
        <f t="shared" si="162"/>
        <v>2324.6666666666665</v>
      </c>
      <c r="L161" s="34">
        <f t="shared" si="155"/>
        <v>9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2436.3108170107121</v>
      </c>
      <c r="N161" s="57">
        <v>0</v>
      </c>
      <c r="O161" s="57">
        <v>0</v>
      </c>
      <c r="P161" s="61">
        <f t="shared" si="156"/>
        <v>9</v>
      </c>
      <c r="Q161" s="40">
        <f t="shared" si="163"/>
        <v>0</v>
      </c>
      <c r="R161" s="40">
        <f t="shared" si="164"/>
        <v>0</v>
      </c>
      <c r="S161" s="44">
        <f t="shared" si="165"/>
        <v>21926.797353096408</v>
      </c>
      <c r="T161" s="35">
        <f t="shared" si="166"/>
        <v>9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2620.0539998691343</v>
      </c>
      <c r="V161" s="57">
        <v>0</v>
      </c>
      <c r="W161" s="57">
        <v>0</v>
      </c>
      <c r="X161" s="61">
        <f t="shared" si="157"/>
        <v>9</v>
      </c>
      <c r="Y161" s="40">
        <f t="shared" si="167"/>
        <v>0</v>
      </c>
      <c r="Z161" s="40">
        <f t="shared" si="168"/>
        <v>0</v>
      </c>
      <c r="AA161" s="44">
        <f t="shared" si="169"/>
        <v>23580.485998822209</v>
      </c>
      <c r="AB161" s="35">
        <f t="shared" si="170"/>
        <v>9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2814.9966738000121</v>
      </c>
      <c r="AD161" s="57">
        <v>0</v>
      </c>
      <c r="AE161" s="57">
        <v>0</v>
      </c>
      <c r="AF161" s="61">
        <f t="shared" si="158"/>
        <v>9</v>
      </c>
      <c r="AG161" s="40">
        <f t="shared" si="171"/>
        <v>0</v>
      </c>
      <c r="AH161" s="40">
        <f t="shared" si="172"/>
        <v>0</v>
      </c>
      <c r="AI161" s="44">
        <f t="shared" si="173"/>
        <v>25334.970064200108</v>
      </c>
      <c r="AJ161" s="35">
        <f t="shared" si="159"/>
        <v>9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3018.7319890959184</v>
      </c>
      <c r="AL161" s="57">
        <v>0</v>
      </c>
      <c r="AM161" s="57">
        <v>0</v>
      </c>
      <c r="AN161" s="61">
        <f t="shared" si="160"/>
        <v>9</v>
      </c>
      <c r="AO161" s="40">
        <f t="shared" si="174"/>
        <v>0</v>
      </c>
      <c r="AP161" s="40">
        <f t="shared" si="175"/>
        <v>0</v>
      </c>
      <c r="AQ161" s="44">
        <f t="shared" si="176"/>
        <v>27168.587901863266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4</v>
      </c>
      <c r="G162" s="35">
        <f>SUMIFS(WORKING!$AC$3:$AC$6802,WORKING!$A$3:$A$6802,Results!$D$3,WORKING!$B$3:$B$6802,Results!A162,WORKING!$C$3:$C$6802,Results!C162)/1000</f>
        <v>5502.8648199999998</v>
      </c>
      <c r="H162" s="35">
        <f t="shared" si="161"/>
        <v>1375.7162049999999</v>
      </c>
      <c r="I162" s="187">
        <v>4</v>
      </c>
      <c r="J162" s="212">
        <v>9503</v>
      </c>
      <c r="K162" s="217">
        <f t="shared" si="162"/>
        <v>2375.75</v>
      </c>
      <c r="L162" s="34">
        <f t="shared" si="155"/>
        <v>4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2490.2804288974189</v>
      </c>
      <c r="N162" s="57">
        <v>0</v>
      </c>
      <c r="O162" s="57">
        <v>0</v>
      </c>
      <c r="P162" s="61">
        <f t="shared" si="156"/>
        <v>4</v>
      </c>
      <c r="Q162" s="40">
        <f t="shared" si="163"/>
        <v>0</v>
      </c>
      <c r="R162" s="40">
        <f t="shared" si="164"/>
        <v>0</v>
      </c>
      <c r="S162" s="44">
        <f t="shared" si="165"/>
        <v>9961.1217155896757</v>
      </c>
      <c r="T162" s="35">
        <f t="shared" si="166"/>
        <v>4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2678.5596157783302</v>
      </c>
      <c r="V162" s="57">
        <v>0</v>
      </c>
      <c r="W162" s="57">
        <v>0</v>
      </c>
      <c r="X162" s="61">
        <f t="shared" si="157"/>
        <v>4</v>
      </c>
      <c r="Y162" s="40">
        <f t="shared" si="167"/>
        <v>0</v>
      </c>
      <c r="Z162" s="40">
        <f t="shared" si="168"/>
        <v>0</v>
      </c>
      <c r="AA162" s="44">
        <f t="shared" si="169"/>
        <v>10714.238463113321</v>
      </c>
      <c r="AB162" s="35">
        <f t="shared" si="170"/>
        <v>4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2878.3557725226119</v>
      </c>
      <c r="AD162" s="57">
        <v>0</v>
      </c>
      <c r="AE162" s="57">
        <v>0</v>
      </c>
      <c r="AF162" s="61">
        <f t="shared" si="158"/>
        <v>4</v>
      </c>
      <c r="AG162" s="40">
        <f t="shared" si="171"/>
        <v>0</v>
      </c>
      <c r="AH162" s="40">
        <f t="shared" si="172"/>
        <v>0</v>
      </c>
      <c r="AI162" s="44">
        <f t="shared" si="173"/>
        <v>11513.423090090448</v>
      </c>
      <c r="AJ162" s="35">
        <f t="shared" si="159"/>
        <v>4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3087.2134397816758</v>
      </c>
      <c r="AL162" s="57">
        <v>0</v>
      </c>
      <c r="AM162" s="57">
        <v>0</v>
      </c>
      <c r="AN162" s="61">
        <f t="shared" si="160"/>
        <v>4</v>
      </c>
      <c r="AO162" s="40">
        <f t="shared" si="174"/>
        <v>0</v>
      </c>
      <c r="AP162" s="40">
        <f t="shared" si="175"/>
        <v>0</v>
      </c>
      <c r="AQ162" s="44">
        <f t="shared" si="176"/>
        <v>12348.853759126703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145</v>
      </c>
      <c r="G168" s="41">
        <f>SUM(G148:G167)</f>
        <v>77011.432660000006</v>
      </c>
      <c r="H168" s="41">
        <f>IFERROR(G168/F168,0)</f>
        <v>531.11332868965519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145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94374</v>
      </c>
      <c r="K168" s="41">
        <f>IFERROR(J168/I168,"")</f>
        <v>650.85517241379307</v>
      </c>
      <c r="L168" s="41">
        <f>SUM(L148:L167)</f>
        <v>145</v>
      </c>
      <c r="M168" s="41">
        <f>IFERROR(S168/P168,0)</f>
        <v>698.5738871697896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145</v>
      </c>
      <c r="Q168" s="41">
        <f t="shared" si="177"/>
        <v>0</v>
      </c>
      <c r="R168" s="41">
        <f t="shared" si="177"/>
        <v>0</v>
      </c>
      <c r="S168" s="45">
        <f t="shared" si="177"/>
        <v>101293.2136396195</v>
      </c>
      <c r="T168" s="41">
        <f t="shared" si="177"/>
        <v>145</v>
      </c>
      <c r="U168" s="41">
        <f>IFERROR(AA168/X168,0)</f>
        <v>755.46868585869629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145</v>
      </c>
      <c r="Y168" s="41">
        <f t="shared" si="178"/>
        <v>0</v>
      </c>
      <c r="Z168" s="41">
        <f t="shared" si="178"/>
        <v>0</v>
      </c>
      <c r="AA168" s="45">
        <f t="shared" si="178"/>
        <v>109542.95944951096</v>
      </c>
      <c r="AB168" s="41">
        <f t="shared" si="178"/>
        <v>145</v>
      </c>
      <c r="AC168" s="41">
        <f>IFERROR(AI168/AF168,0)</f>
        <v>816.24720981912742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145</v>
      </c>
      <c r="AG168" s="41">
        <f t="shared" si="179"/>
        <v>0</v>
      </c>
      <c r="AH168" s="41">
        <f t="shared" si="179"/>
        <v>0</v>
      </c>
      <c r="AI168" s="45">
        <f t="shared" si="179"/>
        <v>118355.84542377347</v>
      </c>
      <c r="AJ168" s="41">
        <f t="shared" si="179"/>
        <v>145</v>
      </c>
      <c r="AK168" s="41">
        <f>IFERROR(AQ168/AN168,0)</f>
        <v>880.27719664200777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145</v>
      </c>
      <c r="AO168" s="41">
        <f t="shared" si="180"/>
        <v>0</v>
      </c>
      <c r="AP168" s="41">
        <f t="shared" si="180"/>
        <v>0</v>
      </c>
      <c r="AQ168" s="45">
        <f t="shared" si="180"/>
        <v>127640.19351309113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101628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106864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110065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118429.94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334.78636038050172</v>
      </c>
      <c r="T170" s="39"/>
      <c r="U170" s="39"/>
      <c r="V170" s="53"/>
      <c r="W170" s="53"/>
      <c r="X170" s="110"/>
      <c r="Y170" s="39"/>
      <c r="Z170" s="39"/>
      <c r="AA170" s="54">
        <f>AA169-AA168</f>
        <v>-2678.9594495109632</v>
      </c>
      <c r="AB170" s="39"/>
      <c r="AC170" s="53"/>
      <c r="AD170" s="53"/>
      <c r="AE170" s="110"/>
      <c r="AF170" s="39"/>
      <c r="AG170" s="39"/>
      <c r="AH170" s="39"/>
      <c r="AI170" s="54">
        <f>AI169-AI168</f>
        <v>-8290.8454237734695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-9210.2535130911274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Forestry and Natural Resources Management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6.4764999999999997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285</v>
      </c>
      <c r="G177" s="35">
        <f>SUMIFS(WORKING!$AC$3:$AC$6802,WORKING!$A$3:$A$6802,Results!$D$3,WORKING!$B$3:$B$6802,Results!A177,WORKING!$C$3:$C$6802,Results!C177)/1000</f>
        <v>41420.65204999999</v>
      </c>
      <c r="H177" s="35">
        <f t="shared" ref="H177:H195" si="187">IFERROR(G177/F177,0)</f>
        <v>145.33562122807015</v>
      </c>
      <c r="I177" s="187">
        <v>282</v>
      </c>
      <c r="J177" s="212">
        <v>41716.68660103454</v>
      </c>
      <c r="K177" s="217">
        <f t="shared" ref="K177:K195" si="188">IFERROR(IF(J177="",G177,J177)/IF(I177="",F177,I177),"")</f>
        <v>147.93151276962604</v>
      </c>
      <c r="L177" s="34">
        <f t="shared" si="181"/>
        <v>282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160.19140212101198</v>
      </c>
      <c r="N177" s="57">
        <v>0</v>
      </c>
      <c r="O177" s="57">
        <v>0</v>
      </c>
      <c r="P177" s="61">
        <f t="shared" si="182"/>
        <v>282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45173.975398125374</v>
      </c>
      <c r="T177" s="35">
        <f t="shared" ref="T177:T195" si="192">P177</f>
        <v>282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173.55416947956581</v>
      </c>
      <c r="V177" s="57">
        <v>0</v>
      </c>
      <c r="W177" s="57">
        <v>0</v>
      </c>
      <c r="X177" s="61">
        <f t="shared" si="183"/>
        <v>282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48942.275793237561</v>
      </c>
      <c r="AB177" s="35">
        <f t="shared" ref="AB177:AB195" si="196">X177</f>
        <v>282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187.85590218721873</v>
      </c>
      <c r="AD177" s="57">
        <v>0</v>
      </c>
      <c r="AE177" s="57">
        <v>0</v>
      </c>
      <c r="AF177" s="61">
        <f t="shared" si="184"/>
        <v>282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52975.364416795681</v>
      </c>
      <c r="AJ177" s="35">
        <f t="shared" si="185"/>
        <v>282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202.95576154464445</v>
      </c>
      <c r="AL177" s="57">
        <v>0</v>
      </c>
      <c r="AM177" s="57">
        <v>0</v>
      </c>
      <c r="AN177" s="61">
        <f t="shared" si="186"/>
        <v>282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57233.524755589737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1030</v>
      </c>
      <c r="G178" s="35">
        <f>SUMIFS(WORKING!$AC$3:$AC$6802,WORKING!$A$3:$A$6802,Results!$D$3,WORKING!$B$3:$B$6802,Results!A178,WORKING!$C$3:$C$6802,Results!C178)/1000</f>
        <v>154014.59908999997</v>
      </c>
      <c r="H178" s="35">
        <f t="shared" si="187"/>
        <v>149.52873698058249</v>
      </c>
      <c r="I178" s="187">
        <v>1034</v>
      </c>
      <c r="J178" s="212">
        <v>155115.34570884501</v>
      </c>
      <c r="K178" s="217">
        <f t="shared" si="188"/>
        <v>150.01484111106868</v>
      </c>
      <c r="L178" s="34">
        <f t="shared" si="181"/>
        <v>1034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162.58977705477341</v>
      </c>
      <c r="N178" s="57">
        <v>0</v>
      </c>
      <c r="O178" s="57">
        <v>0</v>
      </c>
      <c r="P178" s="61">
        <f t="shared" si="182"/>
        <v>1034</v>
      </c>
      <c r="Q178" s="40">
        <f t="shared" si="189"/>
        <v>0</v>
      </c>
      <c r="R178" s="40">
        <f t="shared" si="190"/>
        <v>0</v>
      </c>
      <c r="S178" s="44">
        <f t="shared" si="191"/>
        <v>168117.82947463571</v>
      </c>
      <c r="T178" s="35">
        <f t="shared" si="192"/>
        <v>1034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176.19726602296615</v>
      </c>
      <c r="V178" s="57">
        <v>0</v>
      </c>
      <c r="W178" s="57">
        <v>0</v>
      </c>
      <c r="X178" s="61">
        <f t="shared" si="183"/>
        <v>1034</v>
      </c>
      <c r="Y178" s="40">
        <f t="shared" si="193"/>
        <v>0</v>
      </c>
      <c r="Z178" s="40">
        <f t="shared" si="194"/>
        <v>0</v>
      </c>
      <c r="AA178" s="44">
        <f t="shared" si="195"/>
        <v>182187.97306774699</v>
      </c>
      <c r="AB178" s="35">
        <f t="shared" si="196"/>
        <v>1034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190.76511628540354</v>
      </c>
      <c r="AD178" s="57">
        <v>0</v>
      </c>
      <c r="AE178" s="57">
        <v>0</v>
      </c>
      <c r="AF178" s="61">
        <f t="shared" si="184"/>
        <v>1034</v>
      </c>
      <c r="AG178" s="40">
        <f t="shared" si="197"/>
        <v>0</v>
      </c>
      <c r="AH178" s="40">
        <f t="shared" si="198"/>
        <v>0</v>
      </c>
      <c r="AI178" s="44">
        <f t="shared" si="199"/>
        <v>197251.13023910727</v>
      </c>
      <c r="AJ178" s="35">
        <f t="shared" si="185"/>
        <v>1034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206.15095429990319</v>
      </c>
      <c r="AL178" s="57">
        <v>0</v>
      </c>
      <c r="AM178" s="57">
        <v>0</v>
      </c>
      <c r="AN178" s="61">
        <f t="shared" si="186"/>
        <v>1034</v>
      </c>
      <c r="AO178" s="40">
        <f t="shared" si="200"/>
        <v>0</v>
      </c>
      <c r="AP178" s="40">
        <f t="shared" si="201"/>
        <v>0</v>
      </c>
      <c r="AQ178" s="44">
        <f t="shared" si="202"/>
        <v>213160.0867460999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245</v>
      </c>
      <c r="G179" s="35">
        <f>SUMIFS(WORKING!$AC$3:$AC$6802,WORKING!$A$3:$A$6802,Results!$D$3,WORKING!$B$3:$B$6802,Results!A179,WORKING!$C$3:$C$6802,Results!C179)/1000</f>
        <v>45232.4012</v>
      </c>
      <c r="H179" s="35">
        <f t="shared" si="187"/>
        <v>184.62204571428572</v>
      </c>
      <c r="I179" s="187">
        <v>246</v>
      </c>
      <c r="J179" s="212">
        <v>45555.67842811541</v>
      </c>
      <c r="K179" s="217">
        <f t="shared" si="188"/>
        <v>185.1856846671358</v>
      </c>
      <c r="L179" s="34">
        <f t="shared" si="181"/>
        <v>246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201.04545696343996</v>
      </c>
      <c r="N179" s="57">
        <v>0</v>
      </c>
      <c r="O179" s="57">
        <v>0</v>
      </c>
      <c r="P179" s="61">
        <f t="shared" si="182"/>
        <v>246</v>
      </c>
      <c r="Q179" s="40">
        <f t="shared" si="189"/>
        <v>0</v>
      </c>
      <c r="R179" s="40">
        <f t="shared" si="190"/>
        <v>0</v>
      </c>
      <c r="S179" s="44">
        <f t="shared" si="191"/>
        <v>49457.18241300623</v>
      </c>
      <c r="T179" s="35">
        <f t="shared" si="192"/>
        <v>246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217.97421193632127</v>
      </c>
      <c r="V179" s="57">
        <v>0</v>
      </c>
      <c r="W179" s="57">
        <v>0</v>
      </c>
      <c r="X179" s="61">
        <f t="shared" si="183"/>
        <v>246</v>
      </c>
      <c r="Y179" s="40">
        <f t="shared" si="193"/>
        <v>0</v>
      </c>
      <c r="Z179" s="40">
        <f t="shared" si="194"/>
        <v>0</v>
      </c>
      <c r="AA179" s="44">
        <f t="shared" si="195"/>
        <v>53621.656136335034</v>
      </c>
      <c r="AB179" s="35">
        <f t="shared" si="196"/>
        <v>246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236.10757917558826</v>
      </c>
      <c r="AD179" s="57">
        <v>0</v>
      </c>
      <c r="AE179" s="57">
        <v>0</v>
      </c>
      <c r="AF179" s="61">
        <f t="shared" si="184"/>
        <v>246</v>
      </c>
      <c r="AG179" s="40">
        <f t="shared" si="197"/>
        <v>0</v>
      </c>
      <c r="AH179" s="40">
        <f t="shared" si="198"/>
        <v>0</v>
      </c>
      <c r="AI179" s="44">
        <f t="shared" si="199"/>
        <v>58082.464477194713</v>
      </c>
      <c r="AJ179" s="35">
        <f t="shared" si="185"/>
        <v>246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255.27102337708504</v>
      </c>
      <c r="AL179" s="57">
        <v>0</v>
      </c>
      <c r="AM179" s="57">
        <v>0</v>
      </c>
      <c r="AN179" s="61">
        <f t="shared" si="186"/>
        <v>246</v>
      </c>
      <c r="AO179" s="40">
        <f t="shared" si="200"/>
        <v>0</v>
      </c>
      <c r="AP179" s="40">
        <f t="shared" si="201"/>
        <v>0</v>
      </c>
      <c r="AQ179" s="44">
        <f t="shared" si="202"/>
        <v>62796.671750762922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145</v>
      </c>
      <c r="G180" s="35">
        <f>SUMIFS(WORKING!$AC$3:$AC$6802,WORKING!$A$3:$A$6802,Results!$D$3,WORKING!$B$3:$B$6802,Results!A180,WORKING!$C$3:$C$6802,Results!C180)/1000</f>
        <v>29835.44618000001</v>
      </c>
      <c r="H180" s="35">
        <f t="shared" si="187"/>
        <v>205.76169779310351</v>
      </c>
      <c r="I180" s="187">
        <v>145</v>
      </c>
      <c r="J180" s="212">
        <v>30048.680942797808</v>
      </c>
      <c r="K180" s="217">
        <f t="shared" si="188"/>
        <v>207.23228236412282</v>
      </c>
      <c r="L180" s="34">
        <f t="shared" si="181"/>
        <v>145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225.12113969221753</v>
      </c>
      <c r="N180" s="57">
        <v>0</v>
      </c>
      <c r="O180" s="57">
        <v>0</v>
      </c>
      <c r="P180" s="61">
        <f t="shared" si="182"/>
        <v>145</v>
      </c>
      <c r="Q180" s="40">
        <f t="shared" si="189"/>
        <v>0</v>
      </c>
      <c r="R180" s="40">
        <f t="shared" si="190"/>
        <v>0</v>
      </c>
      <c r="S180" s="44">
        <f t="shared" si="191"/>
        <v>32642.565255371541</v>
      </c>
      <c r="T180" s="35">
        <f t="shared" si="192"/>
        <v>145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244.11923124908716</v>
      </c>
      <c r="V180" s="57">
        <v>0</v>
      </c>
      <c r="W180" s="57">
        <v>0</v>
      </c>
      <c r="X180" s="61">
        <f t="shared" si="183"/>
        <v>145</v>
      </c>
      <c r="Y180" s="40">
        <f t="shared" si="193"/>
        <v>0</v>
      </c>
      <c r="Z180" s="40">
        <f t="shared" si="194"/>
        <v>0</v>
      </c>
      <c r="AA180" s="44">
        <f t="shared" si="195"/>
        <v>35397.288531117636</v>
      </c>
      <c r="AB180" s="35">
        <f t="shared" si="196"/>
        <v>145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264.47326869228709</v>
      </c>
      <c r="AD180" s="57">
        <v>0</v>
      </c>
      <c r="AE180" s="57">
        <v>0</v>
      </c>
      <c r="AF180" s="61">
        <f t="shared" si="184"/>
        <v>145</v>
      </c>
      <c r="AG180" s="40">
        <f t="shared" si="197"/>
        <v>0</v>
      </c>
      <c r="AH180" s="40">
        <f t="shared" si="198"/>
        <v>0</v>
      </c>
      <c r="AI180" s="44">
        <f t="shared" si="199"/>
        <v>38348.623960381628</v>
      </c>
      <c r="AJ180" s="35">
        <f t="shared" si="185"/>
        <v>145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285.98850694842986</v>
      </c>
      <c r="AL180" s="57">
        <v>0</v>
      </c>
      <c r="AM180" s="57">
        <v>0</v>
      </c>
      <c r="AN180" s="61">
        <f t="shared" si="186"/>
        <v>145</v>
      </c>
      <c r="AO180" s="40">
        <f t="shared" si="200"/>
        <v>0</v>
      </c>
      <c r="AP180" s="40">
        <f t="shared" si="201"/>
        <v>0</v>
      </c>
      <c r="AQ180" s="44">
        <f t="shared" si="202"/>
        <v>41468.333507522329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62</v>
      </c>
      <c r="G181" s="35">
        <f>SUMIFS(WORKING!$AC$3:$AC$6802,WORKING!$A$3:$A$6802,Results!$D$3,WORKING!$B$3:$B$6802,Results!A181,WORKING!$C$3:$C$6802,Results!C181)/1000</f>
        <v>18509.049400000004</v>
      </c>
      <c r="H181" s="35">
        <f t="shared" si="187"/>
        <v>298.53305483870975</v>
      </c>
      <c r="I181" s="187">
        <v>62</v>
      </c>
      <c r="J181" s="212">
        <v>18009</v>
      </c>
      <c r="K181" s="217">
        <f t="shared" si="188"/>
        <v>290.46774193548384</v>
      </c>
      <c r="L181" s="34">
        <f t="shared" si="181"/>
        <v>62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315.82299797122289</v>
      </c>
      <c r="N181" s="57">
        <v>0</v>
      </c>
      <c r="O181" s="57">
        <v>0</v>
      </c>
      <c r="P181" s="61">
        <f t="shared" si="182"/>
        <v>62</v>
      </c>
      <c r="Q181" s="40">
        <f t="shared" si="189"/>
        <v>0</v>
      </c>
      <c r="R181" s="40">
        <f t="shared" si="190"/>
        <v>0</v>
      </c>
      <c r="S181" s="44">
        <f t="shared" si="191"/>
        <v>19581.025874215818</v>
      </c>
      <c r="T181" s="35">
        <f t="shared" si="192"/>
        <v>62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342.56344468715218</v>
      </c>
      <c r="V181" s="57">
        <v>0</v>
      </c>
      <c r="W181" s="57">
        <v>0</v>
      </c>
      <c r="X181" s="61">
        <f t="shared" si="183"/>
        <v>62</v>
      </c>
      <c r="Y181" s="40">
        <f t="shared" si="193"/>
        <v>0</v>
      </c>
      <c r="Z181" s="40">
        <f t="shared" si="194"/>
        <v>0</v>
      </c>
      <c r="AA181" s="44">
        <f t="shared" si="195"/>
        <v>21238.933570603436</v>
      </c>
      <c r="AB181" s="35">
        <f t="shared" si="196"/>
        <v>62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371.220796922408</v>
      </c>
      <c r="AD181" s="57">
        <v>0</v>
      </c>
      <c r="AE181" s="57">
        <v>0</v>
      </c>
      <c r="AF181" s="61">
        <f t="shared" si="184"/>
        <v>62</v>
      </c>
      <c r="AG181" s="40">
        <f t="shared" si="197"/>
        <v>0</v>
      </c>
      <c r="AH181" s="40">
        <f t="shared" si="198"/>
        <v>0</v>
      </c>
      <c r="AI181" s="44">
        <f t="shared" si="199"/>
        <v>23015.689409189297</v>
      </c>
      <c r="AJ181" s="35">
        <f t="shared" si="185"/>
        <v>62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401.52304185998139</v>
      </c>
      <c r="AL181" s="57">
        <v>0</v>
      </c>
      <c r="AM181" s="57">
        <v>0</v>
      </c>
      <c r="AN181" s="61">
        <f t="shared" si="186"/>
        <v>62</v>
      </c>
      <c r="AO181" s="40">
        <f t="shared" si="200"/>
        <v>0</v>
      </c>
      <c r="AP181" s="40">
        <f t="shared" si="201"/>
        <v>0</v>
      </c>
      <c r="AQ181" s="44">
        <f t="shared" si="202"/>
        <v>24894.428595318845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83</v>
      </c>
      <c r="G182" s="35">
        <f>SUMIFS(WORKING!$AC$3:$AC$6802,WORKING!$A$3:$A$6802,Results!$D$3,WORKING!$B$3:$B$6802,Results!A182,WORKING!$C$3:$C$6802,Results!C182)/1000</f>
        <v>24380.105909999998</v>
      </c>
      <c r="H182" s="35">
        <f t="shared" si="187"/>
        <v>293.73621578313254</v>
      </c>
      <c r="I182" s="187">
        <v>84</v>
      </c>
      <c r="J182" s="212">
        <v>25186.351204316699</v>
      </c>
      <c r="K182" s="217">
        <f t="shared" si="188"/>
        <v>299.83751433710358</v>
      </c>
      <c r="L182" s="34">
        <f t="shared" si="181"/>
        <v>84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326.23471824318756</v>
      </c>
      <c r="N182" s="57">
        <v>0</v>
      </c>
      <c r="O182" s="57">
        <v>0</v>
      </c>
      <c r="P182" s="61">
        <f t="shared" si="182"/>
        <v>84</v>
      </c>
      <c r="Q182" s="40">
        <f t="shared" si="189"/>
        <v>0</v>
      </c>
      <c r="R182" s="40">
        <f t="shared" si="190"/>
        <v>0</v>
      </c>
      <c r="S182" s="44">
        <f t="shared" si="191"/>
        <v>27403.716332427754</v>
      </c>
      <c r="T182" s="35">
        <f t="shared" si="192"/>
        <v>84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353.92543963956865</v>
      </c>
      <c r="V182" s="57">
        <v>0</v>
      </c>
      <c r="W182" s="57">
        <v>0</v>
      </c>
      <c r="X182" s="61">
        <f t="shared" si="183"/>
        <v>84</v>
      </c>
      <c r="Y182" s="40">
        <f t="shared" si="193"/>
        <v>0</v>
      </c>
      <c r="Z182" s="40">
        <f t="shared" si="194"/>
        <v>0</v>
      </c>
      <c r="AA182" s="44">
        <f t="shared" si="195"/>
        <v>29729.736929723767</v>
      </c>
      <c r="AB182" s="35">
        <f t="shared" si="196"/>
        <v>84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383.6077999740296</v>
      </c>
      <c r="AD182" s="57">
        <v>0</v>
      </c>
      <c r="AE182" s="57">
        <v>0</v>
      </c>
      <c r="AF182" s="61">
        <f t="shared" si="184"/>
        <v>84</v>
      </c>
      <c r="AG182" s="40">
        <f t="shared" si="197"/>
        <v>0</v>
      </c>
      <c r="AH182" s="40">
        <f t="shared" si="198"/>
        <v>0</v>
      </c>
      <c r="AI182" s="44">
        <f t="shared" si="199"/>
        <v>32223.055197818489</v>
      </c>
      <c r="AJ182" s="35">
        <f t="shared" si="185"/>
        <v>84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415.00184741956429</v>
      </c>
      <c r="AL182" s="57">
        <v>0</v>
      </c>
      <c r="AM182" s="57">
        <v>0</v>
      </c>
      <c r="AN182" s="61">
        <f t="shared" si="186"/>
        <v>84</v>
      </c>
      <c r="AO182" s="40">
        <f t="shared" si="200"/>
        <v>0</v>
      </c>
      <c r="AP182" s="40">
        <f t="shared" si="201"/>
        <v>0</v>
      </c>
      <c r="AQ182" s="44">
        <f t="shared" si="202"/>
        <v>34860.155183243398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109</v>
      </c>
      <c r="G183" s="35">
        <f>SUMIFS(WORKING!$AC$3:$AC$6802,WORKING!$A$3:$A$6802,Results!$D$3,WORKING!$B$3:$B$6802,Results!A183,WORKING!$C$3:$C$6802,Results!C183)/1000</f>
        <v>35163.45689999999</v>
      </c>
      <c r="H183" s="35">
        <f t="shared" si="187"/>
        <v>322.60052201834856</v>
      </c>
      <c r="I183" s="187">
        <v>109</v>
      </c>
      <c r="J183" s="212">
        <v>35414.77110344731</v>
      </c>
      <c r="K183" s="217">
        <f t="shared" si="188"/>
        <v>324.90615691236064</v>
      </c>
      <c r="L183" s="34">
        <f t="shared" si="181"/>
        <v>109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353.79689689929575</v>
      </c>
      <c r="N183" s="57">
        <v>0</v>
      </c>
      <c r="O183" s="57">
        <v>0</v>
      </c>
      <c r="P183" s="61">
        <f t="shared" si="182"/>
        <v>109</v>
      </c>
      <c r="Q183" s="40">
        <f t="shared" si="189"/>
        <v>0</v>
      </c>
      <c r="R183" s="40">
        <f t="shared" si="190"/>
        <v>0</v>
      </c>
      <c r="S183" s="44">
        <f t="shared" si="191"/>
        <v>38563.86176202324</v>
      </c>
      <c r="T183" s="35">
        <f t="shared" si="192"/>
        <v>109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383.9166862955575</v>
      </c>
      <c r="V183" s="57">
        <v>0</v>
      </c>
      <c r="W183" s="57">
        <v>0</v>
      </c>
      <c r="X183" s="61">
        <f t="shared" si="183"/>
        <v>109</v>
      </c>
      <c r="Y183" s="40">
        <f t="shared" si="193"/>
        <v>0</v>
      </c>
      <c r="Z183" s="40">
        <f t="shared" si="194"/>
        <v>0</v>
      </c>
      <c r="AA183" s="44">
        <f t="shared" si="195"/>
        <v>41846.91880621577</v>
      </c>
      <c r="AB183" s="35">
        <f t="shared" si="196"/>
        <v>109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416.21137977125039</v>
      </c>
      <c r="AD183" s="57">
        <v>0</v>
      </c>
      <c r="AE183" s="57">
        <v>0</v>
      </c>
      <c r="AF183" s="61">
        <f t="shared" si="184"/>
        <v>109</v>
      </c>
      <c r="AG183" s="40">
        <f t="shared" si="197"/>
        <v>0</v>
      </c>
      <c r="AH183" s="40">
        <f t="shared" si="198"/>
        <v>0</v>
      </c>
      <c r="AI183" s="44">
        <f t="shared" si="199"/>
        <v>45367.040395066295</v>
      </c>
      <c r="AJ183" s="35">
        <f t="shared" si="185"/>
        <v>109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450.37861112018481</v>
      </c>
      <c r="AL183" s="57">
        <v>0</v>
      </c>
      <c r="AM183" s="57">
        <v>0</v>
      </c>
      <c r="AN183" s="61">
        <f t="shared" si="186"/>
        <v>109</v>
      </c>
      <c r="AO183" s="40">
        <f t="shared" si="200"/>
        <v>0</v>
      </c>
      <c r="AP183" s="40">
        <f t="shared" si="201"/>
        <v>0</v>
      </c>
      <c r="AQ183" s="44">
        <f t="shared" si="202"/>
        <v>49091.268612100146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146</v>
      </c>
      <c r="G184" s="35">
        <f>SUMIFS(WORKING!$AC$3:$AC$6802,WORKING!$A$3:$A$6802,Results!$D$3,WORKING!$B$3:$B$6802,Results!A184,WORKING!$C$3:$C$6802,Results!C184)/1000</f>
        <v>65545.450860000026</v>
      </c>
      <c r="H184" s="35">
        <f t="shared" si="187"/>
        <v>448.94144424657554</v>
      </c>
      <c r="I184" s="187">
        <v>146</v>
      </c>
      <c r="J184" s="212">
        <v>66013.906018414113</v>
      </c>
      <c r="K184" s="217">
        <f t="shared" si="188"/>
        <v>452.15004122201447</v>
      </c>
      <c r="L184" s="34">
        <f t="shared" si="181"/>
        <v>146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492.6696396810699</v>
      </c>
      <c r="N184" s="57">
        <v>0</v>
      </c>
      <c r="O184" s="57">
        <v>0</v>
      </c>
      <c r="P184" s="61">
        <f t="shared" si="182"/>
        <v>146</v>
      </c>
      <c r="Q184" s="40">
        <f t="shared" si="189"/>
        <v>0</v>
      </c>
      <c r="R184" s="40">
        <f t="shared" si="190"/>
        <v>0</v>
      </c>
      <c r="S184" s="44">
        <f t="shared" si="191"/>
        <v>71929.76739343621</v>
      </c>
      <c r="T184" s="35">
        <f t="shared" si="192"/>
        <v>146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534.70829905074982</v>
      </c>
      <c r="V184" s="57">
        <v>0</v>
      </c>
      <c r="W184" s="57">
        <v>0</v>
      </c>
      <c r="X184" s="61">
        <f t="shared" si="183"/>
        <v>146</v>
      </c>
      <c r="Y184" s="40">
        <f t="shared" si="193"/>
        <v>0</v>
      </c>
      <c r="Z184" s="40">
        <f t="shared" si="194"/>
        <v>0</v>
      </c>
      <c r="AA184" s="44">
        <f t="shared" si="195"/>
        <v>78067.411661409467</v>
      </c>
      <c r="AB184" s="35">
        <f t="shared" si="196"/>
        <v>146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579.79181538365935</v>
      </c>
      <c r="AD184" s="57">
        <v>0</v>
      </c>
      <c r="AE184" s="57">
        <v>0</v>
      </c>
      <c r="AF184" s="61">
        <f t="shared" si="184"/>
        <v>146</v>
      </c>
      <c r="AG184" s="40">
        <f t="shared" si="197"/>
        <v>0</v>
      </c>
      <c r="AH184" s="40">
        <f t="shared" si="198"/>
        <v>0</v>
      </c>
      <c r="AI184" s="44">
        <f t="shared" si="199"/>
        <v>84649.605046014272</v>
      </c>
      <c r="AJ184" s="35">
        <f t="shared" si="185"/>
        <v>146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627.50061791721316</v>
      </c>
      <c r="AL184" s="57">
        <v>0</v>
      </c>
      <c r="AM184" s="57">
        <v>0</v>
      </c>
      <c r="AN184" s="61">
        <f t="shared" si="186"/>
        <v>146</v>
      </c>
      <c r="AO184" s="40">
        <f t="shared" si="200"/>
        <v>0</v>
      </c>
      <c r="AP184" s="40">
        <f t="shared" si="201"/>
        <v>0</v>
      </c>
      <c r="AQ184" s="44">
        <f t="shared" si="202"/>
        <v>91615.090215913122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67</v>
      </c>
      <c r="G185" s="35">
        <f>SUMIFS(WORKING!$AC$3:$AC$6802,WORKING!$A$3:$A$6802,Results!$D$3,WORKING!$B$3:$B$6802,Results!A185,WORKING!$C$3:$C$6802,Results!C185)/1000</f>
        <v>32187.534919999998</v>
      </c>
      <c r="H185" s="35">
        <f t="shared" si="187"/>
        <v>480.41096895522384</v>
      </c>
      <c r="I185" s="187">
        <v>67</v>
      </c>
      <c r="J185" s="212">
        <v>32417.580126373112</v>
      </c>
      <c r="K185" s="217">
        <f t="shared" si="188"/>
        <v>483.84447949810612</v>
      </c>
      <c r="L185" s="34">
        <f t="shared" si="181"/>
        <v>67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527.37579561907933</v>
      </c>
      <c r="N185" s="57">
        <v>0</v>
      </c>
      <c r="O185" s="57">
        <v>0</v>
      </c>
      <c r="P185" s="61">
        <f t="shared" si="182"/>
        <v>67</v>
      </c>
      <c r="Q185" s="40">
        <f t="shared" si="189"/>
        <v>0</v>
      </c>
      <c r="R185" s="40">
        <f t="shared" si="190"/>
        <v>0</v>
      </c>
      <c r="S185" s="44">
        <f t="shared" si="191"/>
        <v>35334.178306478316</v>
      </c>
      <c r="T185" s="35">
        <f t="shared" si="192"/>
        <v>67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572.42912610695703</v>
      </c>
      <c r="V185" s="57">
        <v>0</v>
      </c>
      <c r="W185" s="57">
        <v>0</v>
      </c>
      <c r="X185" s="61">
        <f t="shared" si="183"/>
        <v>67</v>
      </c>
      <c r="Y185" s="40">
        <f t="shared" si="193"/>
        <v>0</v>
      </c>
      <c r="Z185" s="40">
        <f t="shared" si="194"/>
        <v>0</v>
      </c>
      <c r="AA185" s="44">
        <f t="shared" si="195"/>
        <v>38352.75144916612</v>
      </c>
      <c r="AB185" s="35">
        <f t="shared" si="196"/>
        <v>67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620.7507841567392</v>
      </c>
      <c r="AD185" s="57">
        <v>0</v>
      </c>
      <c r="AE185" s="57">
        <v>0</v>
      </c>
      <c r="AF185" s="61">
        <f t="shared" si="184"/>
        <v>67</v>
      </c>
      <c r="AG185" s="40">
        <f t="shared" si="197"/>
        <v>0</v>
      </c>
      <c r="AH185" s="40">
        <f t="shared" si="198"/>
        <v>0</v>
      </c>
      <c r="AI185" s="44">
        <f t="shared" si="199"/>
        <v>41590.302538501528</v>
      </c>
      <c r="AJ185" s="35">
        <f t="shared" si="185"/>
        <v>67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671.89241448113614</v>
      </c>
      <c r="AL185" s="57">
        <v>0</v>
      </c>
      <c r="AM185" s="57">
        <v>0</v>
      </c>
      <c r="AN185" s="61">
        <f t="shared" si="186"/>
        <v>67</v>
      </c>
      <c r="AO185" s="40">
        <f t="shared" si="200"/>
        <v>0</v>
      </c>
      <c r="AP185" s="40">
        <f t="shared" si="201"/>
        <v>0</v>
      </c>
      <c r="AQ185" s="44">
        <f t="shared" si="202"/>
        <v>45016.791770236123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17</v>
      </c>
      <c r="G186" s="35">
        <f>SUMIFS(WORKING!$AC$3:$AC$6802,WORKING!$A$3:$A$6802,Results!$D$3,WORKING!$B$3:$B$6802,Results!A186,WORKING!$C$3:$C$6802,Results!C186)/1000</f>
        <v>11556.355290000001</v>
      </c>
      <c r="H186" s="35">
        <f t="shared" si="187"/>
        <v>679.78560529411777</v>
      </c>
      <c r="I186" s="187">
        <v>17</v>
      </c>
      <c r="J186" s="212">
        <v>11638.94888233991</v>
      </c>
      <c r="K186" s="217">
        <f t="shared" si="188"/>
        <v>684.64405190234766</v>
      </c>
      <c r="L186" s="34">
        <f t="shared" si="181"/>
        <v>17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747.36942201879106</v>
      </c>
      <c r="N186" s="57">
        <v>0</v>
      </c>
      <c r="O186" s="57">
        <v>0</v>
      </c>
      <c r="P186" s="61">
        <f t="shared" si="182"/>
        <v>17</v>
      </c>
      <c r="Q186" s="40">
        <f t="shared" si="189"/>
        <v>0</v>
      </c>
      <c r="R186" s="40">
        <f t="shared" si="190"/>
        <v>0</v>
      </c>
      <c r="S186" s="44">
        <f t="shared" si="191"/>
        <v>12705.280174319449</v>
      </c>
      <c r="T186" s="35">
        <f t="shared" si="192"/>
        <v>17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811.29223092440589</v>
      </c>
      <c r="V186" s="57">
        <v>0</v>
      </c>
      <c r="W186" s="57">
        <v>0</v>
      </c>
      <c r="X186" s="61">
        <f t="shared" si="183"/>
        <v>17</v>
      </c>
      <c r="Y186" s="40">
        <f t="shared" si="193"/>
        <v>0</v>
      </c>
      <c r="Z186" s="40">
        <f t="shared" si="194"/>
        <v>0</v>
      </c>
      <c r="AA186" s="44">
        <f t="shared" si="195"/>
        <v>13791.9679257149</v>
      </c>
      <c r="AB186" s="35">
        <f t="shared" si="196"/>
        <v>17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879.85931587830146</v>
      </c>
      <c r="AD186" s="57">
        <v>0</v>
      </c>
      <c r="AE186" s="57">
        <v>0</v>
      </c>
      <c r="AF186" s="61">
        <f t="shared" si="184"/>
        <v>17</v>
      </c>
      <c r="AG186" s="40">
        <f t="shared" si="197"/>
        <v>0</v>
      </c>
      <c r="AH186" s="40">
        <f t="shared" si="198"/>
        <v>0</v>
      </c>
      <c r="AI186" s="44">
        <f t="shared" si="199"/>
        <v>14957.608369931124</v>
      </c>
      <c r="AJ186" s="35">
        <f t="shared" si="185"/>
        <v>17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952.43614915643855</v>
      </c>
      <c r="AL186" s="57">
        <v>0</v>
      </c>
      <c r="AM186" s="57">
        <v>0</v>
      </c>
      <c r="AN186" s="61">
        <f t="shared" si="186"/>
        <v>17</v>
      </c>
      <c r="AO186" s="40">
        <f t="shared" si="200"/>
        <v>0</v>
      </c>
      <c r="AP186" s="40">
        <f t="shared" si="201"/>
        <v>0</v>
      </c>
      <c r="AQ186" s="44">
        <f t="shared" si="202"/>
        <v>16191.414535659454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34</v>
      </c>
      <c r="G187" s="35">
        <f>SUMIFS(WORKING!$AC$3:$AC$6802,WORKING!$A$3:$A$6802,Results!$D$3,WORKING!$B$3:$B$6802,Results!A187,WORKING!$C$3:$C$6802,Results!C187)/1000</f>
        <v>26022.749829999993</v>
      </c>
      <c r="H187" s="35">
        <f t="shared" si="187"/>
        <v>765.37499499999979</v>
      </c>
      <c r="I187" s="187">
        <v>34</v>
      </c>
      <c r="J187" s="212">
        <v>26208.735146052219</v>
      </c>
      <c r="K187" s="217">
        <f t="shared" si="188"/>
        <v>770.84515135447703</v>
      </c>
      <c r="L187" s="34">
        <f t="shared" si="181"/>
        <v>34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841.49367666208661</v>
      </c>
      <c r="N187" s="57">
        <v>0</v>
      </c>
      <c r="O187" s="57">
        <v>0</v>
      </c>
      <c r="P187" s="61">
        <f t="shared" si="182"/>
        <v>34</v>
      </c>
      <c r="Q187" s="40">
        <f t="shared" si="189"/>
        <v>0</v>
      </c>
      <c r="R187" s="40">
        <f t="shared" si="190"/>
        <v>0</v>
      </c>
      <c r="S187" s="44">
        <f t="shared" si="191"/>
        <v>28610.785006510945</v>
      </c>
      <c r="T187" s="35">
        <f t="shared" si="192"/>
        <v>34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913.49479060218482</v>
      </c>
      <c r="V187" s="57">
        <v>0</v>
      </c>
      <c r="W187" s="57">
        <v>0</v>
      </c>
      <c r="X187" s="61">
        <f t="shared" si="183"/>
        <v>34</v>
      </c>
      <c r="Y187" s="40">
        <f t="shared" si="193"/>
        <v>0</v>
      </c>
      <c r="Z187" s="40">
        <f t="shared" si="194"/>
        <v>0</v>
      </c>
      <c r="AA187" s="44">
        <f t="shared" si="195"/>
        <v>31058.822880474283</v>
      </c>
      <c r="AB187" s="35">
        <f t="shared" si="196"/>
        <v>34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990.7297874250562</v>
      </c>
      <c r="AD187" s="57">
        <v>0</v>
      </c>
      <c r="AE187" s="57">
        <v>0</v>
      </c>
      <c r="AF187" s="61">
        <f t="shared" si="184"/>
        <v>34</v>
      </c>
      <c r="AG187" s="40">
        <f t="shared" si="197"/>
        <v>0</v>
      </c>
      <c r="AH187" s="40">
        <f t="shared" si="198"/>
        <v>0</v>
      </c>
      <c r="AI187" s="44">
        <f t="shared" si="199"/>
        <v>33684.812772451914</v>
      </c>
      <c r="AJ187" s="35">
        <f t="shared" si="185"/>
        <v>34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1072.4846392325192</v>
      </c>
      <c r="AL187" s="57">
        <v>0</v>
      </c>
      <c r="AM187" s="57">
        <v>0</v>
      </c>
      <c r="AN187" s="61">
        <f t="shared" si="186"/>
        <v>34</v>
      </c>
      <c r="AO187" s="40">
        <f t="shared" si="200"/>
        <v>0</v>
      </c>
      <c r="AP187" s="40">
        <f t="shared" si="201"/>
        <v>0</v>
      </c>
      <c r="AQ187" s="44">
        <f t="shared" si="202"/>
        <v>36464.477733905653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11</v>
      </c>
      <c r="G188" s="35">
        <f>SUMIFS(WORKING!$AC$3:$AC$6802,WORKING!$A$3:$A$6802,Results!$D$3,WORKING!$B$3:$B$6802,Results!A188,WORKING!$C$3:$C$6802,Results!C188)/1000</f>
        <v>10369.69651</v>
      </c>
      <c r="H188" s="35">
        <f t="shared" si="187"/>
        <v>942.69968272727272</v>
      </c>
      <c r="I188" s="187">
        <v>11</v>
      </c>
      <c r="J188" s="212">
        <v>10443.809019069069</v>
      </c>
      <c r="K188" s="217">
        <f t="shared" si="188"/>
        <v>949.4371835517336</v>
      </c>
      <c r="L188" s="34">
        <f t="shared" si="181"/>
        <v>11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994.63407028648874</v>
      </c>
      <c r="N188" s="57">
        <v>0</v>
      </c>
      <c r="O188" s="57">
        <v>0</v>
      </c>
      <c r="P188" s="61">
        <f t="shared" si="182"/>
        <v>11</v>
      </c>
      <c r="Q188" s="40">
        <f t="shared" si="189"/>
        <v>0</v>
      </c>
      <c r="R188" s="40">
        <f t="shared" si="190"/>
        <v>0</v>
      </c>
      <c r="S188" s="44">
        <f t="shared" si="191"/>
        <v>10940.974773151376</v>
      </c>
      <c r="T188" s="35">
        <f t="shared" si="192"/>
        <v>11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1069.2172837281751</v>
      </c>
      <c r="V188" s="57">
        <v>0</v>
      </c>
      <c r="W188" s="57">
        <v>0</v>
      </c>
      <c r="X188" s="61">
        <f t="shared" si="183"/>
        <v>11</v>
      </c>
      <c r="Y188" s="40">
        <f t="shared" si="193"/>
        <v>0</v>
      </c>
      <c r="Z188" s="40">
        <f t="shared" si="194"/>
        <v>0</v>
      </c>
      <c r="AA188" s="44">
        <f t="shared" si="195"/>
        <v>11761.390121009925</v>
      </c>
      <c r="AB188" s="35">
        <f t="shared" si="196"/>
        <v>11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1148.3088295751472</v>
      </c>
      <c r="AD188" s="57">
        <v>0</v>
      </c>
      <c r="AE188" s="57">
        <v>0</v>
      </c>
      <c r="AF188" s="61">
        <f t="shared" si="184"/>
        <v>11</v>
      </c>
      <c r="AG188" s="40">
        <f t="shared" si="197"/>
        <v>0</v>
      </c>
      <c r="AH188" s="40">
        <f t="shared" si="198"/>
        <v>0</v>
      </c>
      <c r="AI188" s="44">
        <f t="shared" si="199"/>
        <v>12631.397125326619</v>
      </c>
      <c r="AJ188" s="35">
        <f t="shared" si="185"/>
        <v>11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1230.9218055089875</v>
      </c>
      <c r="AL188" s="57">
        <v>0</v>
      </c>
      <c r="AM188" s="57">
        <v>0</v>
      </c>
      <c r="AN188" s="61">
        <f t="shared" si="186"/>
        <v>11</v>
      </c>
      <c r="AO188" s="40">
        <f t="shared" si="200"/>
        <v>0</v>
      </c>
      <c r="AP188" s="40">
        <f t="shared" si="201"/>
        <v>0</v>
      </c>
      <c r="AQ188" s="44">
        <f t="shared" si="202"/>
        <v>13540.139860598863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3</v>
      </c>
      <c r="G189" s="35">
        <f>SUMIFS(WORKING!$AC$3:$AC$6802,WORKING!$A$3:$A$6802,Results!$D$3,WORKING!$B$3:$B$6802,Results!A189,WORKING!$C$3:$C$6802,Results!C189)/1000</f>
        <v>4556.4301899999991</v>
      </c>
      <c r="H189" s="35">
        <f t="shared" si="187"/>
        <v>1518.8100633333331</v>
      </c>
      <c r="I189" s="187">
        <v>3</v>
      </c>
      <c r="J189" s="212">
        <v>2984</v>
      </c>
      <c r="K189" s="217">
        <f t="shared" si="188"/>
        <v>994.66666666666663</v>
      </c>
      <c r="L189" s="34">
        <f t="shared" si="181"/>
        <v>3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1041.8807598186802</v>
      </c>
      <c r="N189" s="57">
        <v>0</v>
      </c>
      <c r="O189" s="57">
        <v>0</v>
      </c>
      <c r="P189" s="61">
        <f t="shared" si="182"/>
        <v>3</v>
      </c>
      <c r="Q189" s="40">
        <f t="shared" si="189"/>
        <v>0</v>
      </c>
      <c r="R189" s="40">
        <f t="shared" si="190"/>
        <v>0</v>
      </c>
      <c r="S189" s="44">
        <f t="shared" si="191"/>
        <v>3125.6422794560403</v>
      </c>
      <c r="T189" s="35">
        <f t="shared" si="192"/>
        <v>3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1119.8607306809322</v>
      </c>
      <c r="V189" s="57">
        <v>0</v>
      </c>
      <c r="W189" s="57">
        <v>0</v>
      </c>
      <c r="X189" s="61">
        <f t="shared" si="183"/>
        <v>3</v>
      </c>
      <c r="Y189" s="40">
        <f t="shared" si="193"/>
        <v>0</v>
      </c>
      <c r="Z189" s="40">
        <f t="shared" si="194"/>
        <v>0</v>
      </c>
      <c r="AA189" s="44">
        <f t="shared" si="195"/>
        <v>3359.5821920427966</v>
      </c>
      <c r="AB189" s="35">
        <f t="shared" si="196"/>
        <v>3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1202.5415983298692</v>
      </c>
      <c r="AD189" s="57">
        <v>0</v>
      </c>
      <c r="AE189" s="57">
        <v>0</v>
      </c>
      <c r="AF189" s="61">
        <f t="shared" si="184"/>
        <v>3</v>
      </c>
      <c r="AG189" s="40">
        <f t="shared" si="197"/>
        <v>0</v>
      </c>
      <c r="AH189" s="40">
        <f t="shared" si="198"/>
        <v>0</v>
      </c>
      <c r="AI189" s="44">
        <f t="shared" si="199"/>
        <v>3607.6247949896078</v>
      </c>
      <c r="AJ189" s="35">
        <f t="shared" si="185"/>
        <v>3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1288.8881422798061</v>
      </c>
      <c r="AL189" s="57">
        <v>0</v>
      </c>
      <c r="AM189" s="57">
        <v>0</v>
      </c>
      <c r="AN189" s="61">
        <f t="shared" si="186"/>
        <v>3</v>
      </c>
      <c r="AO189" s="40">
        <f t="shared" si="200"/>
        <v>0</v>
      </c>
      <c r="AP189" s="40">
        <f t="shared" si="201"/>
        <v>0</v>
      </c>
      <c r="AQ189" s="44">
        <f t="shared" si="202"/>
        <v>3866.6644268394184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2</v>
      </c>
      <c r="G190" s="35">
        <f>SUMIFS(WORKING!$AC$3:$AC$6802,WORKING!$A$3:$A$6802,Results!$D$3,WORKING!$B$3:$B$6802,Results!A190,WORKING!$C$3:$C$6802,Results!C190)/1000</f>
        <v>1297.3823900000002</v>
      </c>
      <c r="H190" s="35">
        <f t="shared" si="187"/>
        <v>648.69119500000011</v>
      </c>
      <c r="I190" s="187">
        <v>2</v>
      </c>
      <c r="J190" s="212">
        <v>2912</v>
      </c>
      <c r="K190" s="217">
        <f t="shared" si="188"/>
        <v>1456</v>
      </c>
      <c r="L190" s="34">
        <f t="shared" si="181"/>
        <v>2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1526.6076048168552</v>
      </c>
      <c r="N190" s="57">
        <v>0</v>
      </c>
      <c r="O190" s="57">
        <v>0</v>
      </c>
      <c r="P190" s="61">
        <f t="shared" si="182"/>
        <v>2</v>
      </c>
      <c r="Q190" s="40">
        <f t="shared" si="189"/>
        <v>0</v>
      </c>
      <c r="R190" s="40">
        <f t="shared" si="190"/>
        <v>0</v>
      </c>
      <c r="S190" s="44">
        <f t="shared" si="191"/>
        <v>3053.2152096337104</v>
      </c>
      <c r="T190" s="35">
        <f t="shared" si="192"/>
        <v>2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1642.4759221977858</v>
      </c>
      <c r="V190" s="57">
        <v>0</v>
      </c>
      <c r="W190" s="57">
        <v>0</v>
      </c>
      <c r="X190" s="61">
        <f t="shared" si="183"/>
        <v>2</v>
      </c>
      <c r="Y190" s="40">
        <f t="shared" si="193"/>
        <v>0</v>
      </c>
      <c r="Z190" s="40">
        <f t="shared" si="194"/>
        <v>0</v>
      </c>
      <c r="AA190" s="44">
        <f t="shared" si="195"/>
        <v>3284.9518443955717</v>
      </c>
      <c r="AB190" s="35">
        <f t="shared" si="196"/>
        <v>2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1765.4714419589698</v>
      </c>
      <c r="AD190" s="57">
        <v>0</v>
      </c>
      <c r="AE190" s="57">
        <v>0</v>
      </c>
      <c r="AF190" s="61">
        <f t="shared" si="184"/>
        <v>2</v>
      </c>
      <c r="AG190" s="40">
        <f t="shared" si="197"/>
        <v>0</v>
      </c>
      <c r="AH190" s="40">
        <f t="shared" si="198"/>
        <v>0</v>
      </c>
      <c r="AI190" s="44">
        <f t="shared" si="199"/>
        <v>3530.9428839179395</v>
      </c>
      <c r="AJ190" s="35">
        <f t="shared" si="185"/>
        <v>2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1894.093480232207</v>
      </c>
      <c r="AL190" s="57">
        <v>0</v>
      </c>
      <c r="AM190" s="57">
        <v>0</v>
      </c>
      <c r="AN190" s="61">
        <f t="shared" si="186"/>
        <v>2</v>
      </c>
      <c r="AO190" s="40">
        <f t="shared" si="200"/>
        <v>0</v>
      </c>
      <c r="AP190" s="40">
        <f t="shared" si="201"/>
        <v>0</v>
      </c>
      <c r="AQ190" s="44">
        <f t="shared" si="202"/>
        <v>3788.1869604644139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2239</v>
      </c>
      <c r="G196" s="41">
        <f>SUM(G176:G195)</f>
        <v>500097.78721999994</v>
      </c>
      <c r="H196" s="41">
        <f>IFERROR(G196/F196,0)</f>
        <v>223.35765396158996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2242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503671.96968080522</v>
      </c>
      <c r="K196" s="41">
        <f>IFERROR(J196/I196,"")</f>
        <v>224.65297487993095</v>
      </c>
      <c r="L196" s="41">
        <f>SUM(L176:L195)</f>
        <v>2242</v>
      </c>
      <c r="M196" s="41">
        <f>IFERROR(S196/P196,0)</f>
        <v>243.81801947046907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2242</v>
      </c>
      <c r="Q196" s="41">
        <f t="shared" si="203"/>
        <v>0</v>
      </c>
      <c r="R196" s="41">
        <f t="shared" si="203"/>
        <v>0</v>
      </c>
      <c r="S196" s="45">
        <f t="shared" si="203"/>
        <v>546639.99965279165</v>
      </c>
      <c r="T196" s="41">
        <f t="shared" si="203"/>
        <v>2242</v>
      </c>
      <c r="U196" s="41">
        <f>IFERROR(AA196/X196,0)</f>
        <v>264.33615562408261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2242</v>
      </c>
      <c r="Y196" s="41">
        <f t="shared" si="204"/>
        <v>0</v>
      </c>
      <c r="Z196" s="41">
        <f t="shared" si="204"/>
        <v>0</v>
      </c>
      <c r="AA196" s="45">
        <f t="shared" si="204"/>
        <v>592641.66090919322</v>
      </c>
      <c r="AB196" s="41">
        <f t="shared" si="204"/>
        <v>2242</v>
      </c>
      <c r="AC196" s="41">
        <f>IFERROR(AI196/AF196,0)</f>
        <v>286.31385442760319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2242</v>
      </c>
      <c r="AG196" s="41">
        <f t="shared" si="205"/>
        <v>0</v>
      </c>
      <c r="AH196" s="41">
        <f t="shared" si="205"/>
        <v>0</v>
      </c>
      <c r="AI196" s="45">
        <f t="shared" si="205"/>
        <v>641915.66162668634</v>
      </c>
      <c r="AJ196" s="41">
        <f t="shared" si="205"/>
        <v>2242</v>
      </c>
      <c r="AK196" s="41">
        <f>IFERROR(AQ196/AN196,0)</f>
        <v>309.53935533196005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2242</v>
      </c>
      <c r="AO196" s="41">
        <f t="shared" si="206"/>
        <v>0</v>
      </c>
      <c r="AP196" s="41">
        <f t="shared" si="206"/>
        <v>0</v>
      </c>
      <c r="AQ196" s="45">
        <f t="shared" si="206"/>
        <v>693987.2346542544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553715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566348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586280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630837.28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7075.0003472083481</v>
      </c>
      <c r="T198" s="39"/>
      <c r="U198" s="39"/>
      <c r="V198" s="53"/>
      <c r="W198" s="53"/>
      <c r="X198" s="110"/>
      <c r="Y198" s="39"/>
      <c r="Z198" s="39"/>
      <c r="AA198" s="54">
        <f>AA197-AA196</f>
        <v>-26293.660909193219</v>
      </c>
      <c r="AB198" s="39"/>
      <c r="AC198" s="53"/>
      <c r="AD198" s="53"/>
      <c r="AE198" s="110"/>
      <c r="AF198" s="39"/>
      <c r="AG198" s="39"/>
      <c r="AH198" s="39"/>
      <c r="AI198" s="54">
        <f>AI197-AI196</f>
        <v>-55635.661626686342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-63149.954654254369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Fisheries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26.928900000000002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15</v>
      </c>
      <c r="G207" s="35">
        <f>SUMIFS(WORKING!$AC$3:$AC$6802,WORKING!$A$3:$A$6802,Results!$D$3,WORKING!$B$3:$B$6802,Results!A207,WORKING!$C$3:$C$6802,Results!C207)/1000</f>
        <v>2990.3619899999999</v>
      </c>
      <c r="H207" s="35">
        <f t="shared" si="213"/>
        <v>199.35746599999999</v>
      </c>
      <c r="I207" s="187">
        <v>14</v>
      </c>
      <c r="J207" s="212">
        <v>2990</v>
      </c>
      <c r="K207" s="217">
        <f t="shared" si="214"/>
        <v>213.57142857142858</v>
      </c>
      <c r="L207" s="34">
        <f t="shared" si="207"/>
        <v>14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232.03851369564424</v>
      </c>
      <c r="N207" s="57">
        <v>0</v>
      </c>
      <c r="O207" s="57">
        <v>0</v>
      </c>
      <c r="P207" s="61">
        <f t="shared" si="208"/>
        <v>14</v>
      </c>
      <c r="Q207" s="40">
        <f t="shared" si="215"/>
        <v>0</v>
      </c>
      <c r="R207" s="40">
        <f t="shared" si="216"/>
        <v>0</v>
      </c>
      <c r="S207" s="44">
        <f t="shared" si="217"/>
        <v>3248.5391917390193</v>
      </c>
      <c r="T207" s="35">
        <f t="shared" si="218"/>
        <v>14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251.63284595711195</v>
      </c>
      <c r="V207" s="57">
        <v>0</v>
      </c>
      <c r="W207" s="57">
        <v>0</v>
      </c>
      <c r="X207" s="61">
        <f t="shared" si="209"/>
        <v>14</v>
      </c>
      <c r="Y207" s="40">
        <f t="shared" si="219"/>
        <v>0</v>
      </c>
      <c r="Z207" s="40">
        <f t="shared" si="220"/>
        <v>0</v>
      </c>
      <c r="AA207" s="44">
        <f t="shared" si="221"/>
        <v>3522.8598433995676</v>
      </c>
      <c r="AB207" s="35">
        <f t="shared" si="222"/>
        <v>14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272.62672175859683</v>
      </c>
      <c r="AD207" s="57">
        <v>0</v>
      </c>
      <c r="AE207" s="57">
        <v>0</v>
      </c>
      <c r="AF207" s="61">
        <f t="shared" si="210"/>
        <v>14</v>
      </c>
      <c r="AG207" s="40">
        <f t="shared" si="223"/>
        <v>0</v>
      </c>
      <c r="AH207" s="40">
        <f t="shared" si="224"/>
        <v>0</v>
      </c>
      <c r="AI207" s="44">
        <f t="shared" si="225"/>
        <v>3816.7741046203555</v>
      </c>
      <c r="AJ207" s="35">
        <f t="shared" si="211"/>
        <v>14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294.81939224764687</v>
      </c>
      <c r="AL207" s="57">
        <v>0</v>
      </c>
      <c r="AM207" s="57">
        <v>0</v>
      </c>
      <c r="AN207" s="61">
        <f t="shared" si="212"/>
        <v>14</v>
      </c>
      <c r="AO207" s="40">
        <f t="shared" si="226"/>
        <v>0</v>
      </c>
      <c r="AP207" s="40">
        <f t="shared" si="227"/>
        <v>0</v>
      </c>
      <c r="AQ207" s="44">
        <f t="shared" si="228"/>
        <v>4127.4714914670567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33</v>
      </c>
      <c r="G208" s="35">
        <f>SUMIFS(WORKING!$AC$3:$AC$6802,WORKING!$A$3:$A$6802,Results!$D$3,WORKING!$B$3:$B$6802,Results!A208,WORKING!$C$3:$C$6802,Results!C208)/1000</f>
        <v>8664.2642299999989</v>
      </c>
      <c r="H208" s="35">
        <f t="shared" si="213"/>
        <v>262.55346151515147</v>
      </c>
      <c r="I208" s="187">
        <v>33</v>
      </c>
      <c r="J208" s="212">
        <v>8664</v>
      </c>
      <c r="K208" s="217">
        <f t="shared" si="214"/>
        <v>262.54545454545456</v>
      </c>
      <c r="L208" s="34">
        <f t="shared" si="207"/>
        <v>33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286.21014834019695</v>
      </c>
      <c r="N208" s="57">
        <v>0</v>
      </c>
      <c r="O208" s="57">
        <v>0</v>
      </c>
      <c r="P208" s="61">
        <f t="shared" si="208"/>
        <v>33</v>
      </c>
      <c r="Q208" s="40">
        <f t="shared" si="215"/>
        <v>0</v>
      </c>
      <c r="R208" s="40">
        <f t="shared" si="216"/>
        <v>0</v>
      </c>
      <c r="S208" s="44">
        <f t="shared" si="217"/>
        <v>9444.9348952264991</v>
      </c>
      <c r="T208" s="35">
        <f t="shared" si="218"/>
        <v>33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310.67434360601749</v>
      </c>
      <c r="V208" s="57">
        <v>0</v>
      </c>
      <c r="W208" s="57">
        <v>0</v>
      </c>
      <c r="X208" s="61">
        <f t="shared" si="209"/>
        <v>33</v>
      </c>
      <c r="Y208" s="40">
        <f t="shared" si="219"/>
        <v>0</v>
      </c>
      <c r="Z208" s="40">
        <f t="shared" si="220"/>
        <v>0</v>
      </c>
      <c r="AA208" s="44">
        <f t="shared" si="221"/>
        <v>10252.253338998577</v>
      </c>
      <c r="AB208" s="35">
        <f t="shared" si="222"/>
        <v>33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336.91452486806963</v>
      </c>
      <c r="AD208" s="57">
        <v>0</v>
      </c>
      <c r="AE208" s="57">
        <v>0</v>
      </c>
      <c r="AF208" s="61">
        <f t="shared" si="210"/>
        <v>33</v>
      </c>
      <c r="AG208" s="40">
        <f t="shared" si="223"/>
        <v>0</v>
      </c>
      <c r="AH208" s="40">
        <f t="shared" si="224"/>
        <v>0</v>
      </c>
      <c r="AI208" s="44">
        <f t="shared" si="225"/>
        <v>11118.179320646297</v>
      </c>
      <c r="AJ208" s="35">
        <f t="shared" si="211"/>
        <v>33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364.6875251089748</v>
      </c>
      <c r="AL208" s="57">
        <v>0</v>
      </c>
      <c r="AM208" s="57">
        <v>0</v>
      </c>
      <c r="AN208" s="61">
        <f t="shared" si="212"/>
        <v>33</v>
      </c>
      <c r="AO208" s="40">
        <f t="shared" si="226"/>
        <v>0</v>
      </c>
      <c r="AP208" s="40">
        <f t="shared" si="227"/>
        <v>0</v>
      </c>
      <c r="AQ208" s="44">
        <f t="shared" si="228"/>
        <v>12034.688328596169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74</v>
      </c>
      <c r="G209" s="35">
        <f>SUMIFS(WORKING!$AC$3:$AC$6802,WORKING!$A$3:$A$6802,Results!$D$3,WORKING!$B$3:$B$6802,Results!A209,WORKING!$C$3:$C$6802,Results!C209)/1000</f>
        <v>22227.239689999999</v>
      </c>
      <c r="H209" s="35">
        <f t="shared" si="213"/>
        <v>300.36810391891891</v>
      </c>
      <c r="I209" s="187">
        <v>74</v>
      </c>
      <c r="J209" s="212">
        <v>22227</v>
      </c>
      <c r="K209" s="217">
        <f t="shared" si="214"/>
        <v>300.36486486486484</v>
      </c>
      <c r="L209" s="34">
        <f t="shared" si="207"/>
        <v>74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327.04599077181422</v>
      </c>
      <c r="N209" s="57">
        <v>0</v>
      </c>
      <c r="O209" s="57">
        <v>0</v>
      </c>
      <c r="P209" s="61">
        <f t="shared" si="208"/>
        <v>74</v>
      </c>
      <c r="Q209" s="40">
        <f t="shared" si="215"/>
        <v>0</v>
      </c>
      <c r="R209" s="40">
        <f t="shared" si="216"/>
        <v>0</v>
      </c>
      <c r="S209" s="44">
        <f t="shared" si="217"/>
        <v>24201.403317114251</v>
      </c>
      <c r="T209" s="35">
        <f t="shared" si="218"/>
        <v>74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354.87824476732368</v>
      </c>
      <c r="V209" s="57">
        <v>0</v>
      </c>
      <c r="W209" s="57">
        <v>0</v>
      </c>
      <c r="X209" s="61">
        <f t="shared" si="209"/>
        <v>74</v>
      </c>
      <c r="Y209" s="40">
        <f t="shared" si="219"/>
        <v>0</v>
      </c>
      <c r="Z209" s="40">
        <f t="shared" si="220"/>
        <v>0</v>
      </c>
      <c r="AA209" s="44">
        <f t="shared" si="221"/>
        <v>26260.990112781954</v>
      </c>
      <c r="AB209" s="35">
        <f t="shared" si="222"/>
        <v>74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384.71932343040169</v>
      </c>
      <c r="AD209" s="57">
        <v>0</v>
      </c>
      <c r="AE209" s="57">
        <v>0</v>
      </c>
      <c r="AF209" s="61">
        <f t="shared" si="210"/>
        <v>74</v>
      </c>
      <c r="AG209" s="40">
        <f t="shared" si="223"/>
        <v>0</v>
      </c>
      <c r="AH209" s="40">
        <f t="shared" si="224"/>
        <v>0</v>
      </c>
      <c r="AI209" s="44">
        <f t="shared" si="225"/>
        <v>28469.229933849725</v>
      </c>
      <c r="AJ209" s="35">
        <f t="shared" si="211"/>
        <v>74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416.28967366925133</v>
      </c>
      <c r="AL209" s="57">
        <v>0</v>
      </c>
      <c r="AM209" s="57">
        <v>0</v>
      </c>
      <c r="AN209" s="61">
        <f t="shared" si="212"/>
        <v>74</v>
      </c>
      <c r="AO209" s="40">
        <f t="shared" si="226"/>
        <v>0</v>
      </c>
      <c r="AP209" s="40">
        <f t="shared" si="227"/>
        <v>0</v>
      </c>
      <c r="AQ209" s="44">
        <f t="shared" si="228"/>
        <v>30805.435851524599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224</v>
      </c>
      <c r="G210" s="35">
        <f>SUMIFS(WORKING!$AC$3:$AC$6802,WORKING!$A$3:$A$6802,Results!$D$3,WORKING!$B$3:$B$6802,Results!A210,WORKING!$C$3:$C$6802,Results!C210)/1000</f>
        <v>67601.882850000009</v>
      </c>
      <c r="H210" s="35">
        <f t="shared" si="213"/>
        <v>301.79411986607147</v>
      </c>
      <c r="I210" s="187">
        <v>213</v>
      </c>
      <c r="J210" s="212">
        <v>67602</v>
      </c>
      <c r="K210" s="217">
        <f t="shared" si="214"/>
        <v>317.38028169014086</v>
      </c>
      <c r="L210" s="34">
        <f t="shared" si="207"/>
        <v>213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345.73694767763777</v>
      </c>
      <c r="N210" s="57">
        <v>0</v>
      </c>
      <c r="O210" s="57">
        <v>0</v>
      </c>
      <c r="P210" s="61">
        <f t="shared" si="208"/>
        <v>213</v>
      </c>
      <c r="Q210" s="40">
        <f t="shared" si="215"/>
        <v>0</v>
      </c>
      <c r="R210" s="40">
        <f t="shared" si="216"/>
        <v>0</v>
      </c>
      <c r="S210" s="44">
        <f t="shared" si="217"/>
        <v>73641.969855336851</v>
      </c>
      <c r="T210" s="35">
        <f t="shared" si="218"/>
        <v>213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375.2099324298959</v>
      </c>
      <c r="V210" s="57">
        <v>0</v>
      </c>
      <c r="W210" s="57">
        <v>0</v>
      </c>
      <c r="X210" s="61">
        <f t="shared" si="209"/>
        <v>213</v>
      </c>
      <c r="Y210" s="40">
        <f t="shared" si="219"/>
        <v>0</v>
      </c>
      <c r="Z210" s="40">
        <f t="shared" si="220"/>
        <v>0</v>
      </c>
      <c r="AA210" s="44">
        <f t="shared" si="221"/>
        <v>79919.715607567821</v>
      </c>
      <c r="AB210" s="35">
        <f t="shared" si="222"/>
        <v>213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406.8150183641273</v>
      </c>
      <c r="AD210" s="57">
        <v>0</v>
      </c>
      <c r="AE210" s="57">
        <v>0</v>
      </c>
      <c r="AF210" s="61">
        <f t="shared" si="210"/>
        <v>213</v>
      </c>
      <c r="AG210" s="40">
        <f t="shared" si="223"/>
        <v>0</v>
      </c>
      <c r="AH210" s="40">
        <f t="shared" si="224"/>
        <v>0</v>
      </c>
      <c r="AI210" s="44">
        <f t="shared" si="225"/>
        <v>86651.598911559107</v>
      </c>
      <c r="AJ210" s="35">
        <f t="shared" si="211"/>
        <v>213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440.25746135258578</v>
      </c>
      <c r="AL210" s="57">
        <v>0</v>
      </c>
      <c r="AM210" s="57">
        <v>0</v>
      </c>
      <c r="AN210" s="61">
        <f t="shared" si="212"/>
        <v>213</v>
      </c>
      <c r="AO210" s="40">
        <f t="shared" si="226"/>
        <v>0</v>
      </c>
      <c r="AP210" s="40">
        <f t="shared" si="227"/>
        <v>0</v>
      </c>
      <c r="AQ210" s="44">
        <f t="shared" si="228"/>
        <v>93774.839268100768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62</v>
      </c>
      <c r="G211" s="35">
        <f>SUMIFS(WORKING!$AC$3:$AC$6802,WORKING!$A$3:$A$6802,Results!$D$3,WORKING!$B$3:$B$6802,Results!A211,WORKING!$C$3:$C$6802,Results!C211)/1000</f>
        <v>26355.691589999999</v>
      </c>
      <c r="H211" s="35">
        <f t="shared" si="213"/>
        <v>425.09179983870968</v>
      </c>
      <c r="I211" s="187">
        <v>62</v>
      </c>
      <c r="J211" s="212">
        <v>26356</v>
      </c>
      <c r="K211" s="217">
        <f t="shared" si="214"/>
        <v>425.09677419354841</v>
      </c>
      <c r="L211" s="34">
        <f t="shared" si="207"/>
        <v>62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463.36870018770367</v>
      </c>
      <c r="N211" s="57">
        <v>0</v>
      </c>
      <c r="O211" s="57">
        <v>0</v>
      </c>
      <c r="P211" s="61">
        <f t="shared" si="208"/>
        <v>62</v>
      </c>
      <c r="Q211" s="40">
        <f t="shared" si="215"/>
        <v>0</v>
      </c>
      <c r="R211" s="40">
        <f t="shared" si="216"/>
        <v>0</v>
      </c>
      <c r="S211" s="44">
        <f t="shared" si="217"/>
        <v>28728.859411637626</v>
      </c>
      <c r="T211" s="35">
        <f t="shared" si="218"/>
        <v>62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502.96074487227276</v>
      </c>
      <c r="V211" s="57">
        <v>0</v>
      </c>
      <c r="W211" s="57">
        <v>0</v>
      </c>
      <c r="X211" s="61">
        <f t="shared" si="209"/>
        <v>62</v>
      </c>
      <c r="Y211" s="40">
        <f t="shared" si="219"/>
        <v>0</v>
      </c>
      <c r="Z211" s="40">
        <f t="shared" si="220"/>
        <v>0</v>
      </c>
      <c r="AA211" s="44">
        <f t="shared" si="221"/>
        <v>31183.566182080911</v>
      </c>
      <c r="AB211" s="35">
        <f t="shared" si="222"/>
        <v>62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545.4256470704388</v>
      </c>
      <c r="AD211" s="57">
        <v>0</v>
      </c>
      <c r="AE211" s="57">
        <v>0</v>
      </c>
      <c r="AF211" s="61">
        <f t="shared" si="210"/>
        <v>62</v>
      </c>
      <c r="AG211" s="40">
        <f t="shared" si="223"/>
        <v>0</v>
      </c>
      <c r="AH211" s="40">
        <f t="shared" si="224"/>
        <v>0</v>
      </c>
      <c r="AI211" s="44">
        <f t="shared" si="225"/>
        <v>33816.390118367206</v>
      </c>
      <c r="AJ211" s="35">
        <f t="shared" si="211"/>
        <v>62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590.36964403456432</v>
      </c>
      <c r="AL211" s="57">
        <v>0</v>
      </c>
      <c r="AM211" s="57">
        <v>0</v>
      </c>
      <c r="AN211" s="61">
        <f t="shared" si="212"/>
        <v>62</v>
      </c>
      <c r="AO211" s="40">
        <f t="shared" si="226"/>
        <v>0</v>
      </c>
      <c r="AP211" s="40">
        <f t="shared" si="227"/>
        <v>0</v>
      </c>
      <c r="AQ211" s="44">
        <f t="shared" si="228"/>
        <v>36602.91793014299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18</v>
      </c>
      <c r="G212" s="35">
        <f>SUMIFS(WORKING!$AC$3:$AC$6802,WORKING!$A$3:$A$6802,Results!$D$3,WORKING!$B$3:$B$6802,Results!A212,WORKING!$C$3:$C$6802,Results!C212)/1000</f>
        <v>6611.2167800000007</v>
      </c>
      <c r="H212" s="35">
        <f t="shared" si="213"/>
        <v>367.28982111111117</v>
      </c>
      <c r="I212" s="187">
        <v>18</v>
      </c>
      <c r="J212" s="212">
        <v>6611</v>
      </c>
      <c r="K212" s="217">
        <f t="shared" si="214"/>
        <v>367.27777777777777</v>
      </c>
      <c r="L212" s="34">
        <f t="shared" si="207"/>
        <v>18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400.40069729789229</v>
      </c>
      <c r="N212" s="57">
        <v>0</v>
      </c>
      <c r="O212" s="57">
        <v>0</v>
      </c>
      <c r="P212" s="61">
        <f t="shared" si="208"/>
        <v>18</v>
      </c>
      <c r="Q212" s="40">
        <f t="shared" si="215"/>
        <v>0</v>
      </c>
      <c r="R212" s="40">
        <f t="shared" si="216"/>
        <v>0</v>
      </c>
      <c r="S212" s="44">
        <f t="shared" si="217"/>
        <v>7207.2125513620613</v>
      </c>
      <c r="T212" s="35">
        <f t="shared" si="218"/>
        <v>18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434.63184749986237</v>
      </c>
      <c r="V212" s="57">
        <v>0</v>
      </c>
      <c r="W212" s="57">
        <v>0</v>
      </c>
      <c r="X212" s="61">
        <f t="shared" si="209"/>
        <v>18</v>
      </c>
      <c r="Y212" s="40">
        <f t="shared" si="219"/>
        <v>0</v>
      </c>
      <c r="Z212" s="40">
        <f t="shared" si="220"/>
        <v>0</v>
      </c>
      <c r="AA212" s="44">
        <f t="shared" si="221"/>
        <v>7823.373254997523</v>
      </c>
      <c r="AB212" s="35">
        <f t="shared" si="222"/>
        <v>18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471.34862810793919</v>
      </c>
      <c r="AD212" s="57">
        <v>0</v>
      </c>
      <c r="AE212" s="57">
        <v>0</v>
      </c>
      <c r="AF212" s="61">
        <f t="shared" si="210"/>
        <v>18</v>
      </c>
      <c r="AG212" s="40">
        <f t="shared" si="223"/>
        <v>0</v>
      </c>
      <c r="AH212" s="40">
        <f t="shared" si="224"/>
        <v>0</v>
      </c>
      <c r="AI212" s="44">
        <f t="shared" si="225"/>
        <v>8484.2753059429051</v>
      </c>
      <c r="AJ212" s="35">
        <f t="shared" si="211"/>
        <v>18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510.21094354785151</v>
      </c>
      <c r="AL212" s="57">
        <v>0</v>
      </c>
      <c r="AM212" s="57">
        <v>0</v>
      </c>
      <c r="AN212" s="61">
        <f t="shared" si="212"/>
        <v>18</v>
      </c>
      <c r="AO212" s="40">
        <f t="shared" si="226"/>
        <v>0</v>
      </c>
      <c r="AP212" s="40">
        <f t="shared" si="227"/>
        <v>0</v>
      </c>
      <c r="AQ212" s="44">
        <f t="shared" si="228"/>
        <v>9183.796983861328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40</v>
      </c>
      <c r="G213" s="35">
        <f>SUMIFS(WORKING!$AC$3:$AC$6802,WORKING!$A$3:$A$6802,Results!$D$3,WORKING!$B$3:$B$6802,Results!A213,WORKING!$C$3:$C$6802,Results!C213)/1000</f>
        <v>22177.759160000001</v>
      </c>
      <c r="H213" s="35">
        <f t="shared" si="213"/>
        <v>554.44397900000001</v>
      </c>
      <c r="I213" s="187">
        <v>40</v>
      </c>
      <c r="J213" s="212">
        <v>22178</v>
      </c>
      <c r="K213" s="217">
        <f t="shared" si="214"/>
        <v>554.45000000000005</v>
      </c>
      <c r="L213" s="34">
        <f t="shared" si="207"/>
        <v>40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604.64374178996911</v>
      </c>
      <c r="N213" s="57">
        <v>0</v>
      </c>
      <c r="O213" s="57">
        <v>0</v>
      </c>
      <c r="P213" s="61">
        <f t="shared" si="208"/>
        <v>40</v>
      </c>
      <c r="Q213" s="40">
        <f t="shared" si="215"/>
        <v>0</v>
      </c>
      <c r="R213" s="40">
        <f t="shared" si="216"/>
        <v>0</v>
      </c>
      <c r="S213" s="44">
        <f t="shared" si="217"/>
        <v>24185.749671598765</v>
      </c>
      <c r="T213" s="35">
        <f t="shared" si="218"/>
        <v>40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656.3946003694025</v>
      </c>
      <c r="V213" s="57">
        <v>0</v>
      </c>
      <c r="W213" s="57">
        <v>0</v>
      </c>
      <c r="X213" s="61">
        <f t="shared" si="209"/>
        <v>40</v>
      </c>
      <c r="Y213" s="40">
        <f t="shared" si="219"/>
        <v>0</v>
      </c>
      <c r="Z213" s="40">
        <f t="shared" si="220"/>
        <v>0</v>
      </c>
      <c r="AA213" s="44">
        <f t="shared" si="221"/>
        <v>26255.784014776102</v>
      </c>
      <c r="AB213" s="35">
        <f t="shared" si="222"/>
        <v>40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711.90892455884023</v>
      </c>
      <c r="AD213" s="57">
        <v>0</v>
      </c>
      <c r="AE213" s="57">
        <v>0</v>
      </c>
      <c r="AF213" s="61">
        <f t="shared" si="210"/>
        <v>40</v>
      </c>
      <c r="AG213" s="40">
        <f t="shared" si="223"/>
        <v>0</v>
      </c>
      <c r="AH213" s="40">
        <f t="shared" si="224"/>
        <v>0</v>
      </c>
      <c r="AI213" s="44">
        <f t="shared" si="225"/>
        <v>28476.356982353609</v>
      </c>
      <c r="AJ213" s="35">
        <f t="shared" si="211"/>
        <v>40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770.67404730234068</v>
      </c>
      <c r="AL213" s="57">
        <v>0</v>
      </c>
      <c r="AM213" s="57">
        <v>0</v>
      </c>
      <c r="AN213" s="61">
        <f t="shared" si="212"/>
        <v>40</v>
      </c>
      <c r="AO213" s="40">
        <f t="shared" si="226"/>
        <v>0</v>
      </c>
      <c r="AP213" s="40">
        <f t="shared" si="227"/>
        <v>0</v>
      </c>
      <c r="AQ213" s="44">
        <f t="shared" si="228"/>
        <v>30826.961892093626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16</v>
      </c>
      <c r="G214" s="35">
        <f>SUMIFS(WORKING!$AC$3:$AC$6802,WORKING!$A$3:$A$6802,Results!$D$3,WORKING!$B$3:$B$6802,Results!A214,WORKING!$C$3:$C$6802,Results!C214)/1000</f>
        <v>9957.4619199999961</v>
      </c>
      <c r="H214" s="35">
        <f t="shared" si="213"/>
        <v>622.34136999999976</v>
      </c>
      <c r="I214" s="187">
        <v>16</v>
      </c>
      <c r="J214" s="212">
        <v>9957</v>
      </c>
      <c r="K214" s="217">
        <f t="shared" si="214"/>
        <v>622.3125</v>
      </c>
      <c r="L214" s="34">
        <f t="shared" si="207"/>
        <v>16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679.41539414328554</v>
      </c>
      <c r="N214" s="57">
        <v>0</v>
      </c>
      <c r="O214" s="57">
        <v>0</v>
      </c>
      <c r="P214" s="61">
        <f t="shared" si="208"/>
        <v>16</v>
      </c>
      <c r="Q214" s="40">
        <f t="shared" si="215"/>
        <v>0</v>
      </c>
      <c r="R214" s="40">
        <f t="shared" si="216"/>
        <v>0</v>
      </c>
      <c r="S214" s="44">
        <f t="shared" si="217"/>
        <v>10870.646306292569</v>
      </c>
      <c r="T214" s="35">
        <f t="shared" si="218"/>
        <v>16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737.62180684720863</v>
      </c>
      <c r="V214" s="57">
        <v>0</v>
      </c>
      <c r="W214" s="57">
        <v>0</v>
      </c>
      <c r="X214" s="61">
        <f t="shared" si="209"/>
        <v>16</v>
      </c>
      <c r="Y214" s="40">
        <f t="shared" si="219"/>
        <v>0</v>
      </c>
      <c r="Z214" s="40">
        <f t="shared" si="220"/>
        <v>0</v>
      </c>
      <c r="AA214" s="44">
        <f t="shared" si="221"/>
        <v>11801.948909555338</v>
      </c>
      <c r="AB214" s="35">
        <f t="shared" si="222"/>
        <v>16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800.06641459554214</v>
      </c>
      <c r="AD214" s="57">
        <v>0</v>
      </c>
      <c r="AE214" s="57">
        <v>0</v>
      </c>
      <c r="AF214" s="61">
        <f t="shared" si="210"/>
        <v>16</v>
      </c>
      <c r="AG214" s="40">
        <f t="shared" si="223"/>
        <v>0</v>
      </c>
      <c r="AH214" s="40">
        <f t="shared" si="224"/>
        <v>0</v>
      </c>
      <c r="AI214" s="44">
        <f t="shared" si="225"/>
        <v>12801.062633528674</v>
      </c>
      <c r="AJ214" s="35">
        <f t="shared" si="211"/>
        <v>16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866.17380653079226</v>
      </c>
      <c r="AL214" s="57">
        <v>0</v>
      </c>
      <c r="AM214" s="57">
        <v>0</v>
      </c>
      <c r="AN214" s="61">
        <f t="shared" si="212"/>
        <v>16</v>
      </c>
      <c r="AO214" s="40">
        <f t="shared" si="226"/>
        <v>0</v>
      </c>
      <c r="AP214" s="40">
        <f t="shared" si="227"/>
        <v>0</v>
      </c>
      <c r="AQ214" s="44">
        <f t="shared" si="228"/>
        <v>13858.780904492676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17</v>
      </c>
      <c r="G215" s="35">
        <f>SUMIFS(WORKING!$AC$3:$AC$6802,WORKING!$A$3:$A$6802,Results!$D$3,WORKING!$B$3:$B$6802,Results!A215,WORKING!$C$3:$C$6802,Results!C215)/1000</f>
        <v>13702.022459999996</v>
      </c>
      <c r="H215" s="35">
        <f t="shared" si="213"/>
        <v>806.00132117647036</v>
      </c>
      <c r="I215" s="187">
        <v>17</v>
      </c>
      <c r="J215" s="212">
        <v>13702</v>
      </c>
      <c r="K215" s="217">
        <f t="shared" si="214"/>
        <v>806</v>
      </c>
      <c r="L215" s="34">
        <f t="shared" si="207"/>
        <v>17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879.84293892691164</v>
      </c>
      <c r="N215" s="57">
        <v>0</v>
      </c>
      <c r="O215" s="57">
        <v>0</v>
      </c>
      <c r="P215" s="61">
        <f t="shared" si="208"/>
        <v>17</v>
      </c>
      <c r="Q215" s="40">
        <f t="shared" si="215"/>
        <v>0</v>
      </c>
      <c r="R215" s="40">
        <f t="shared" si="216"/>
        <v>0</v>
      </c>
      <c r="S215" s="44">
        <f t="shared" si="217"/>
        <v>14957.329961757498</v>
      </c>
      <c r="T215" s="35">
        <f t="shared" si="218"/>
        <v>17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955.09543777398301</v>
      </c>
      <c r="V215" s="57">
        <v>0</v>
      </c>
      <c r="W215" s="57">
        <v>0</v>
      </c>
      <c r="X215" s="61">
        <f t="shared" si="209"/>
        <v>17</v>
      </c>
      <c r="Y215" s="40">
        <f t="shared" si="219"/>
        <v>0</v>
      </c>
      <c r="Z215" s="40">
        <f t="shared" si="220"/>
        <v>0</v>
      </c>
      <c r="AA215" s="44">
        <f t="shared" si="221"/>
        <v>16236.622442157712</v>
      </c>
      <c r="AB215" s="35">
        <f t="shared" si="222"/>
        <v>17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1035.8152856073546</v>
      </c>
      <c r="AD215" s="57">
        <v>0</v>
      </c>
      <c r="AE215" s="57">
        <v>0</v>
      </c>
      <c r="AF215" s="61">
        <f t="shared" si="210"/>
        <v>17</v>
      </c>
      <c r="AG215" s="40">
        <f t="shared" si="223"/>
        <v>0</v>
      </c>
      <c r="AH215" s="40">
        <f t="shared" si="224"/>
        <v>0</v>
      </c>
      <c r="AI215" s="44">
        <f t="shared" si="225"/>
        <v>17608.859855325027</v>
      </c>
      <c r="AJ215" s="35">
        <f t="shared" si="211"/>
        <v>17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1121.2554705117795</v>
      </c>
      <c r="AL215" s="57">
        <v>0</v>
      </c>
      <c r="AM215" s="57">
        <v>0</v>
      </c>
      <c r="AN215" s="61">
        <f t="shared" si="212"/>
        <v>17</v>
      </c>
      <c r="AO215" s="40">
        <f t="shared" si="226"/>
        <v>0</v>
      </c>
      <c r="AP215" s="40">
        <f t="shared" si="227"/>
        <v>0</v>
      </c>
      <c r="AQ215" s="44">
        <f t="shared" si="228"/>
        <v>19061.342998700253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14</v>
      </c>
      <c r="G216" s="35">
        <f>SUMIFS(WORKING!$AC$3:$AC$6802,WORKING!$A$3:$A$6802,Results!$D$3,WORKING!$B$3:$B$6802,Results!A216,WORKING!$C$3:$C$6802,Results!C216)/1000</f>
        <v>15036.693630000002</v>
      </c>
      <c r="H216" s="35">
        <f t="shared" si="213"/>
        <v>1074.0495450000001</v>
      </c>
      <c r="I216" s="187">
        <v>14</v>
      </c>
      <c r="J216" s="212">
        <v>13037</v>
      </c>
      <c r="K216" s="217">
        <f t="shared" si="214"/>
        <v>931.21428571428567</v>
      </c>
      <c r="L216" s="34">
        <f t="shared" si="207"/>
        <v>14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976.01825071939766</v>
      </c>
      <c r="N216" s="57">
        <v>0</v>
      </c>
      <c r="O216" s="57">
        <v>0</v>
      </c>
      <c r="P216" s="61">
        <f t="shared" si="208"/>
        <v>14</v>
      </c>
      <c r="Q216" s="40">
        <f t="shared" si="215"/>
        <v>0</v>
      </c>
      <c r="R216" s="40">
        <f t="shared" si="216"/>
        <v>0</v>
      </c>
      <c r="S216" s="44">
        <f t="shared" si="217"/>
        <v>13664.255510071567</v>
      </c>
      <c r="T216" s="35">
        <f t="shared" si="218"/>
        <v>14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1049.7159381243034</v>
      </c>
      <c r="V216" s="57">
        <v>0</v>
      </c>
      <c r="W216" s="57">
        <v>0</v>
      </c>
      <c r="X216" s="61">
        <f t="shared" si="209"/>
        <v>14</v>
      </c>
      <c r="Y216" s="40">
        <f t="shared" si="219"/>
        <v>0</v>
      </c>
      <c r="Z216" s="40">
        <f t="shared" si="220"/>
        <v>0</v>
      </c>
      <c r="AA216" s="44">
        <f t="shared" si="221"/>
        <v>14696.023133740247</v>
      </c>
      <c r="AB216" s="35">
        <f t="shared" si="222"/>
        <v>14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1127.9133543754076</v>
      </c>
      <c r="AD216" s="57">
        <v>0</v>
      </c>
      <c r="AE216" s="57">
        <v>0</v>
      </c>
      <c r="AF216" s="61">
        <f t="shared" si="210"/>
        <v>14</v>
      </c>
      <c r="AG216" s="40">
        <f t="shared" si="223"/>
        <v>0</v>
      </c>
      <c r="AH216" s="40">
        <f t="shared" si="224"/>
        <v>0</v>
      </c>
      <c r="AI216" s="44">
        <f t="shared" si="225"/>
        <v>15790.786961255706</v>
      </c>
      <c r="AJ216" s="35">
        <f t="shared" si="211"/>
        <v>14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1209.6471688293891</v>
      </c>
      <c r="AL216" s="57">
        <v>0</v>
      </c>
      <c r="AM216" s="57">
        <v>0</v>
      </c>
      <c r="AN216" s="61">
        <f t="shared" si="212"/>
        <v>14</v>
      </c>
      <c r="AO216" s="40">
        <f t="shared" si="226"/>
        <v>0</v>
      </c>
      <c r="AP216" s="40">
        <f t="shared" si="227"/>
        <v>0</v>
      </c>
      <c r="AQ216" s="44">
        <f t="shared" si="228"/>
        <v>16935.060363611447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11</v>
      </c>
      <c r="G217" s="35">
        <f>SUMIFS(WORKING!$AC$3:$AC$6802,WORKING!$A$3:$A$6802,Results!$D$3,WORKING!$B$3:$B$6802,Results!A217,WORKING!$C$3:$C$6802,Results!C217)/1000</f>
        <v>12127.97573</v>
      </c>
      <c r="H217" s="35">
        <f t="shared" si="213"/>
        <v>1102.5432481818182</v>
      </c>
      <c r="I217" s="187">
        <v>11</v>
      </c>
      <c r="J217" s="212">
        <v>11588</v>
      </c>
      <c r="K217" s="217">
        <f t="shared" si="214"/>
        <v>1053.4545454545455</v>
      </c>
      <c r="L217" s="34">
        <f t="shared" si="207"/>
        <v>11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1103.9171521860817</v>
      </c>
      <c r="N217" s="57">
        <v>0</v>
      </c>
      <c r="O217" s="57">
        <v>0</v>
      </c>
      <c r="P217" s="61">
        <f t="shared" si="208"/>
        <v>11</v>
      </c>
      <c r="Q217" s="40">
        <f t="shared" si="215"/>
        <v>0</v>
      </c>
      <c r="R217" s="40">
        <f t="shared" si="216"/>
        <v>0</v>
      </c>
      <c r="S217" s="44">
        <f t="shared" si="217"/>
        <v>12143.0886740469</v>
      </c>
      <c r="T217" s="35">
        <f t="shared" si="218"/>
        <v>11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1187.0327601194356</v>
      </c>
      <c r="V217" s="57">
        <v>0</v>
      </c>
      <c r="W217" s="57">
        <v>0</v>
      </c>
      <c r="X217" s="61">
        <f t="shared" si="209"/>
        <v>11</v>
      </c>
      <c r="Y217" s="40">
        <f t="shared" si="219"/>
        <v>0</v>
      </c>
      <c r="Z217" s="40">
        <f t="shared" si="220"/>
        <v>0</v>
      </c>
      <c r="AA217" s="44">
        <f t="shared" si="221"/>
        <v>13057.360361313791</v>
      </c>
      <c r="AB217" s="35">
        <f t="shared" si="222"/>
        <v>11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1275.2021122237441</v>
      </c>
      <c r="AD217" s="57">
        <v>0</v>
      </c>
      <c r="AE217" s="57">
        <v>0</v>
      </c>
      <c r="AF217" s="61">
        <f t="shared" si="210"/>
        <v>11</v>
      </c>
      <c r="AG217" s="40">
        <f t="shared" si="223"/>
        <v>0</v>
      </c>
      <c r="AH217" s="40">
        <f t="shared" si="224"/>
        <v>0</v>
      </c>
      <c r="AI217" s="44">
        <f t="shared" si="225"/>
        <v>14027.223234461184</v>
      </c>
      <c r="AJ217" s="35">
        <f t="shared" si="211"/>
        <v>11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1367.3332319151907</v>
      </c>
      <c r="AL217" s="57">
        <v>0</v>
      </c>
      <c r="AM217" s="57">
        <v>0</v>
      </c>
      <c r="AN217" s="61">
        <f t="shared" si="212"/>
        <v>11</v>
      </c>
      <c r="AO217" s="40">
        <f t="shared" si="226"/>
        <v>0</v>
      </c>
      <c r="AP217" s="40">
        <f t="shared" si="227"/>
        <v>0</v>
      </c>
      <c r="AQ217" s="44">
        <f t="shared" si="228"/>
        <v>15040.665551067097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2</v>
      </c>
      <c r="G218" s="35">
        <f>SUMIFS(WORKING!$AC$3:$AC$6802,WORKING!$A$3:$A$6802,Results!$D$3,WORKING!$B$3:$B$6802,Results!A218,WORKING!$C$3:$C$6802,Results!C218)/1000</f>
        <v>2075.0116400000002</v>
      </c>
      <c r="H218" s="35">
        <f t="shared" si="213"/>
        <v>1037.5058200000001</v>
      </c>
      <c r="I218" s="187">
        <v>2</v>
      </c>
      <c r="J218" s="212">
        <v>2075</v>
      </c>
      <c r="K218" s="217">
        <f t="shared" si="214"/>
        <v>1037.5</v>
      </c>
      <c r="L218" s="34">
        <f t="shared" si="207"/>
        <v>2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1087.464167240131</v>
      </c>
      <c r="N218" s="57">
        <v>0</v>
      </c>
      <c r="O218" s="57">
        <v>0</v>
      </c>
      <c r="P218" s="61">
        <f t="shared" si="208"/>
        <v>2</v>
      </c>
      <c r="Q218" s="40">
        <f t="shared" si="215"/>
        <v>0</v>
      </c>
      <c r="R218" s="40">
        <f t="shared" si="216"/>
        <v>0</v>
      </c>
      <c r="S218" s="44">
        <f t="shared" si="217"/>
        <v>2174.928334480262</v>
      </c>
      <c r="T218" s="35">
        <f t="shared" si="218"/>
        <v>2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1169.6269039136432</v>
      </c>
      <c r="V218" s="57">
        <v>0</v>
      </c>
      <c r="W218" s="57">
        <v>0</v>
      </c>
      <c r="X218" s="61">
        <f t="shared" si="209"/>
        <v>2</v>
      </c>
      <c r="Y218" s="40">
        <f t="shared" si="219"/>
        <v>0</v>
      </c>
      <c r="Z218" s="40">
        <f t="shared" si="220"/>
        <v>0</v>
      </c>
      <c r="AA218" s="44">
        <f t="shared" si="221"/>
        <v>2339.2538078272864</v>
      </c>
      <c r="AB218" s="35">
        <f t="shared" si="222"/>
        <v>2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1256.8106094279829</v>
      </c>
      <c r="AD218" s="57">
        <v>0</v>
      </c>
      <c r="AE218" s="57">
        <v>0</v>
      </c>
      <c r="AF218" s="61">
        <f t="shared" si="210"/>
        <v>2</v>
      </c>
      <c r="AG218" s="40">
        <f t="shared" si="223"/>
        <v>0</v>
      </c>
      <c r="AH218" s="40">
        <f t="shared" si="224"/>
        <v>0</v>
      </c>
      <c r="AI218" s="44">
        <f t="shared" si="225"/>
        <v>2513.6212188559657</v>
      </c>
      <c r="AJ218" s="35">
        <f t="shared" si="211"/>
        <v>2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1347.9424611133718</v>
      </c>
      <c r="AL218" s="57">
        <v>0</v>
      </c>
      <c r="AM218" s="57">
        <v>0</v>
      </c>
      <c r="AN218" s="61">
        <f t="shared" si="212"/>
        <v>2</v>
      </c>
      <c r="AO218" s="40">
        <f t="shared" si="226"/>
        <v>0</v>
      </c>
      <c r="AP218" s="40">
        <f t="shared" si="227"/>
        <v>0</v>
      </c>
      <c r="AQ218" s="44">
        <f t="shared" si="228"/>
        <v>2695.8849222267436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526</v>
      </c>
      <c r="G224" s="41">
        <f>SUM(G204:G223)</f>
        <v>209554.51057000004</v>
      </c>
      <c r="H224" s="41">
        <f>IFERROR(G224/F224,0)</f>
        <v>398.39260564638789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514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207013.9289</v>
      </c>
      <c r="K224" s="41">
        <f>IFERROR(J224/I224,"")</f>
        <v>402.75083443579769</v>
      </c>
      <c r="L224" s="41">
        <f>SUM(L204:L223)</f>
        <v>514</v>
      </c>
      <c r="M224" s="41">
        <f>IFERROR(S224/P224,0)</f>
        <v>436.70995657716708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514</v>
      </c>
      <c r="Q224" s="41">
        <f t="shared" si="230"/>
        <v>0</v>
      </c>
      <c r="R224" s="41">
        <f t="shared" si="230"/>
        <v>0</v>
      </c>
      <c r="S224" s="45">
        <f t="shared" si="230"/>
        <v>224468.91768066387</v>
      </c>
      <c r="T224" s="41">
        <f t="shared" si="230"/>
        <v>514</v>
      </c>
      <c r="U224" s="41">
        <f>IFERROR(AA224/X224,0)</f>
        <v>473.44309534863186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514</v>
      </c>
      <c r="Y224" s="41">
        <f t="shared" si="231"/>
        <v>0</v>
      </c>
      <c r="Z224" s="41">
        <f t="shared" si="231"/>
        <v>0</v>
      </c>
      <c r="AA224" s="45">
        <f t="shared" si="231"/>
        <v>243349.75100919677</v>
      </c>
      <c r="AB224" s="41">
        <f t="shared" si="231"/>
        <v>514</v>
      </c>
      <c r="AC224" s="41">
        <f>IFERROR(AI224/AF224,0)</f>
        <v>512.79058089643138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514</v>
      </c>
      <c r="AG224" s="41">
        <f t="shared" si="232"/>
        <v>0</v>
      </c>
      <c r="AH224" s="41">
        <f t="shared" si="232"/>
        <v>0</v>
      </c>
      <c r="AI224" s="45">
        <f t="shared" si="232"/>
        <v>263574.35858076572</v>
      </c>
      <c r="AJ224" s="41">
        <f t="shared" si="232"/>
        <v>514</v>
      </c>
      <c r="AK224" s="41">
        <f>IFERROR(AQ224/AN224,0)</f>
        <v>554.37324219043728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514</v>
      </c>
      <c r="AO224" s="41">
        <f t="shared" si="233"/>
        <v>0</v>
      </c>
      <c r="AP224" s="41">
        <f t="shared" si="233"/>
        <v>0</v>
      </c>
      <c r="AQ224" s="45">
        <f t="shared" si="233"/>
        <v>284947.84648588474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216839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223450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231335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248916.46000000002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-7629.9176806638716</v>
      </c>
      <c r="T226" s="39"/>
      <c r="U226" s="39"/>
      <c r="V226" s="53"/>
      <c r="W226" s="53"/>
      <c r="X226" s="110"/>
      <c r="Y226" s="39"/>
      <c r="Z226" s="39"/>
      <c r="AA226" s="54">
        <f>AA225-AA224</f>
        <v>-19899.751009196771</v>
      </c>
      <c r="AB226" s="39"/>
      <c r="AC226" s="53"/>
      <c r="AD226" s="53"/>
      <c r="AE226" s="110"/>
      <c r="AF226" s="39"/>
      <c r="AG226" s="39"/>
      <c r="AH226" s="39"/>
      <c r="AI226" s="54">
        <f>AI225-AI224</f>
        <v>-32239.358580765722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-36031.386485884723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O9/1sXdcji+xihhwXMnv+kjxiUHpKontNi2bXg5nm7phC8GPEfR6Og7bkWJ3VIS3kQlzb3s+DfWRfAYY4/PtOw==" saltValue="cjKcCETFrL4mFFbmnZJ2C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Agriculture, Forestry And Fisheries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24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42671.504293518519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NAT_HRBP__42671.5042935185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HRBP-Vote24.xlsx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terms/"/>
    <ds:schemaRef ds:uri="http://purl.org/dc/dcmitype/"/>
    <ds:schemaRef ds:uri="http://purl.org/dc/elements/1.1/"/>
    <ds:schemaRef ds:uri="http://schemas.microsoft.com/sharepoint/v3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df7ca258-5e24-45de-bd31-dbc76bc6765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2016-10-28T10:07:48Z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